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Gulia\"/>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E94" i="1" l="1"/>
  <c r="H35" i="1"/>
  <c r="I35" i="1"/>
  <c r="G60" i="1"/>
  <c r="I60" i="1"/>
  <c r="G61" i="1"/>
  <c r="I61" i="1"/>
  <c r="G62" i="1"/>
  <c r="I62" i="1"/>
  <c r="G63" i="1"/>
  <c r="I63" i="1"/>
  <c r="G64" i="1"/>
  <c r="I64" i="1"/>
  <c r="E65" i="1"/>
  <c r="H65" i="1"/>
  <c r="G78" i="1"/>
  <c r="G83" i="1" s="1"/>
  <c r="I160" i="1" s="1"/>
  <c r="I78" i="1"/>
  <c r="G79" i="1"/>
  <c r="I79" i="1"/>
  <c r="G80" i="1"/>
  <c r="I80" i="1"/>
  <c r="G81" i="1"/>
  <c r="I81" i="1"/>
  <c r="G82" i="1"/>
  <c r="I82" i="1"/>
  <c r="E83" i="1"/>
  <c r="H83" i="1"/>
  <c r="G94" i="1"/>
  <c r="H94" i="1"/>
  <c r="I94" i="1"/>
  <c r="H96" i="1"/>
  <c r="I128" i="1"/>
  <c r="E108" i="1"/>
  <c r="G108" i="1"/>
  <c r="H108" i="1"/>
  <c r="I108" i="1"/>
  <c r="H110" i="1"/>
  <c r="H112" i="1"/>
  <c r="G182" i="1" s="1"/>
  <c r="I124" i="1"/>
  <c r="I154" i="1" s="1"/>
  <c r="I161" i="1" s="1"/>
  <c r="I125" i="1"/>
  <c r="I129" i="1"/>
  <c r="I130" i="1"/>
  <c r="I131" i="1"/>
  <c r="I132" i="1"/>
  <c r="I133" i="1"/>
  <c r="I134" i="1"/>
  <c r="I138" i="1"/>
  <c r="I140" i="1" s="1"/>
  <c r="I150" i="1" s="1"/>
  <c r="I139" i="1"/>
  <c r="I142" i="1"/>
  <c r="I143" i="1"/>
  <c r="I144" i="1"/>
  <c r="I145" i="1"/>
  <c r="I146" i="1"/>
  <c r="I147" i="1"/>
  <c r="I148" i="1"/>
  <c r="I152" i="1"/>
  <c r="I155" i="1"/>
  <c r="I156" i="1"/>
  <c r="I157" i="1"/>
  <c r="I158" i="1"/>
  <c r="I164" i="1"/>
  <c r="I170" i="1" s="1"/>
  <c r="I166" i="1"/>
  <c r="I167" i="1"/>
  <c r="I174" i="1"/>
  <c r="H179" i="1"/>
  <c r="I183" i="1"/>
  <c r="H185" i="1"/>
  <c r="H186" i="1"/>
  <c r="I186" i="1"/>
  <c r="I187" i="1"/>
  <c r="H189" i="1"/>
  <c r="H119" i="1"/>
  <c r="H190" i="1"/>
  <c r="I190" i="1"/>
  <c r="H191" i="1"/>
  <c r="H192" i="1"/>
  <c r="H193" i="1" s="1"/>
  <c r="I192" i="1"/>
  <c r="I193" i="1"/>
  <c r="H196" i="1"/>
  <c r="I198" i="1"/>
  <c r="I149" i="1"/>
  <c r="I83" i="1"/>
  <c r="H98" i="1"/>
  <c r="G181" i="1" s="1"/>
  <c r="H180" i="1" s="1"/>
  <c r="I135" i="1"/>
  <c r="I65" i="1"/>
  <c r="G65" i="1"/>
  <c r="I159" i="1" s="1"/>
  <c r="I126" i="1" l="1"/>
  <c r="I136" i="1" s="1"/>
  <c r="I162" i="1" s="1"/>
  <c r="I175" i="1" s="1"/>
  <c r="H197" i="1" s="1"/>
  <c r="H198"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<sst xmlns="http://schemas.openxmlformats.org/spreadsheetml/2006/main" count="223" uniqueCount="160">
  <si>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</si>
  <si>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</si>
  <si>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</si>
  <si>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</si>
  <si>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</si>
  <si>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</si>
  <si>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</si>
  <si>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</si>
  <si>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</si>
  <si>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</si>
  <si>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</si>
  <si>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</si>
  <si>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</si>
  <si>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</si>
  <si>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</si>
  <si>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</si>
  <si>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</si>
  <si>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</si>
  <si>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</si>
  <si>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</si>
  <si>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</si>
  <si>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</si>
  <si>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</si>
  <si>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</si>
  <si>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</si>
  <si>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</si>
  <si>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</si>
  <si>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</si>
  <si>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</si>
  <si>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</si>
  <si>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</si>
  <si>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</si>
  <si>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</si>
  <si>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</si>
  <si>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</si>
  <si>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</si>
  <si>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</si>
  <si>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</si>
  <si>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</si>
  <si>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</si>
  <si>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</si>
  <si>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</si>
  <si>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</si>
  <si>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</si>
  <si>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</si>
  <si>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</si>
  <si>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</si>
  <si>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</si>
  <si>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</si>
  <si>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</si>
  <si>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</si>
  <si>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</si>
  <si>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</si>
  <si>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</si>
  <si>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</si>
  <si>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</si>
  <si>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</si>
  <si>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</si>
  <si>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</si>
  <si>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</si>
  <si>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</si>
  <si>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</si>
  <si>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</si>
  <si>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</si>
  <si>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</si>
  <si>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</si>
  <si>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</si>
  <si>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</si>
  <si>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</si>
  <si>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</si>
  <si>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</si>
  <si>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</si>
  <si>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</si>
  <si>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</si>
  <si>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</si>
  <si>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</si>
  <si>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</si>
  <si>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</si>
  <si>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</si>
  <si>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</si>
  <si>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</si>
  <si>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</si>
  <si>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</si>
  <si>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</si>
  <si>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</si>
  <si>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</si>
  <si>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</si>
  <si>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</si>
  <si>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</si>
  <si>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</si>
  <si>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</si>
  <si>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</si>
  <si>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</si>
  <si>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</si>
  <si>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</si>
  <si>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</si>
  <si>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</si>
  <si>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</si>
  <si>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</si>
  <si>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</si>
  <si>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</si>
  <si>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</si>
  <si>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</si>
  <si>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</si>
  <si>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</si>
  <si>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</si>
  <si>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</si>
  <si>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</si>
  <si>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</si>
  <si>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</si>
  <si>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</si>
  <si>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</si>
  <si>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</si>
  <si>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</si>
  <si>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</si>
  <si>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</si>
  <si>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</si>
  <si>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</si>
  <si>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</si>
  <si>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</si>
  <si>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</si>
  <si>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</si>
  <si>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</si>
  <si>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</si>
  <si>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</si>
  <si>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</si>
  <si>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</si>
  <si>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</si>
  <si>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</si>
  <si>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</si>
  <si>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</si>
  <si>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</si>
  <si>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</si>
  <si>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</si>
  <si>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</si>
  <si>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</si>
  <si>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</si>
  <si>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</si>
  <si>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</si>
  <si>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</si>
  <si>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</si>
  <si>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</si>
  <si>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</si>
  <si>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</si>
  <si>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</si>
  <si>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</si>
  <si>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</si>
  <si>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</si>
  <si>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</si>
  <si>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</si>
  <si>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</si>
  <si>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</si>
  <si>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</si>
  <si>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</si>
  <si>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</si>
  <si>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</si>
  <si>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</si>
  <si>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</si>
  <si>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</si>
  <si>
    <t>DECISIONI: PRODOTTO CREMA SOLARE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</si>
</sst>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2" zoomScale="140" zoomScaleNormal="140" zoomScaleSheetLayoutView="120" workbookViewId="0">
      <selection activeCell="E74" sqref="E7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3500000</v>
      </c>
      <c r="I34" s="30">
        <v>8750000</v>
      </c>
      <c r="J34" s="12"/>
    </row>
    <row r="35" spans="2:11" ht="12.75" customHeight="1">
      <c r="B35" s="10"/>
      <c r="C35" s="114" t="s">
        <v>36</v>
      </c>
      <c r="D35" s="114"/>
      <c r="E35" s="114"/>
      <c r="F35" s="114"/>
      <c r="G35" s="114"/>
      <c r="H35" s="35">
        <f>+H33+H34</f>
        <v>3500000</v>
      </c>
      <c r="I35" s="35">
        <f>+I33+I34</f>
        <v>8750000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26500</v>
      </c>
      <c r="J40" s="12"/>
    </row>
    <row r="41" spans="2:11" ht="12.75" customHeight="1">
      <c r="B41" s="10"/>
      <c r="C41" s="18" t="s">
        <v>42</v>
      </c>
      <c r="D41" s="115">
        <v>1</v>
      </c>
      <c r="E41" s="115"/>
      <c r="F41" s="11"/>
      <c r="G41" s="116" t="s">
        <v>43</v>
      </c>
      <c r="H41" s="116"/>
      <c r="I41" s="43">
        <v>1</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12" t="s">
        <v>159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49</v>
      </c>
      <c r="D51" s="49" t="s">
        <v>50</v>
      </c>
      <c r="E51" s="50" t="s">
        <v>51</v>
      </c>
      <c r="F51" s="50" t="s">
        <v>52</v>
      </c>
      <c r="G51" s="49" t="s">
        <v>53</v>
      </c>
      <c r="H51" s="51" t="s">
        <v>54</v>
      </c>
      <c r="I51" s="51" t="s">
        <v>55</v>
      </c>
      <c r="J51" s="12"/>
    </row>
    <row r="52" spans="2:11" ht="12.75" customHeight="1">
      <c r="B52" s="10"/>
      <c r="C52" s="18" t="s">
        <v>56</v>
      </c>
      <c r="D52" s="52">
        <v>11.5</v>
      </c>
      <c r="E52" s="52">
        <v>1</v>
      </c>
      <c r="F52" s="53">
        <v>76</v>
      </c>
      <c r="G52" s="54"/>
      <c r="H52" s="55"/>
      <c r="I52" s="56"/>
      <c r="J52" s="12"/>
    </row>
    <row r="53" spans="2:11" ht="12.75" customHeight="1">
      <c r="B53" s="10"/>
      <c r="C53" s="41" t="s">
        <v>40</v>
      </c>
      <c r="D53" s="52">
        <v>10.7</v>
      </c>
      <c r="E53" s="52">
        <v>0.5</v>
      </c>
      <c r="F53" s="53">
        <v>80</v>
      </c>
      <c r="G53" s="54"/>
      <c r="H53" s="55"/>
      <c r="I53" s="56"/>
      <c r="J53" s="12"/>
    </row>
    <row r="54" spans="2:11" ht="12.75" customHeight="1">
      <c r="B54" s="10"/>
      <c r="C54" s="41" t="s">
        <v>42</v>
      </c>
      <c r="D54" s="52">
        <v>13.5</v>
      </c>
      <c r="E54" s="52">
        <v>2</v>
      </c>
      <c r="F54" s="53">
        <v>90</v>
      </c>
      <c r="G54" s="54"/>
      <c r="H54" s="55"/>
      <c r="I54" s="56"/>
      <c r="J54" s="12"/>
    </row>
    <row r="55" spans="2:11" ht="12.75" customHeight="1">
      <c r="B55" s="10"/>
      <c r="C55" s="18" t="s">
        <v>57</v>
      </c>
      <c r="D55" s="52">
        <v>12.5</v>
      </c>
      <c r="E55" s="52">
        <v>1.5</v>
      </c>
      <c r="F55" s="53">
        <v>88</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58</v>
      </c>
      <c r="F57" s="119"/>
      <c r="G57" s="119"/>
      <c r="H57" s="119" t="s">
        <v>59</v>
      </c>
      <c r="I57" s="119"/>
      <c r="J57" s="12"/>
    </row>
    <row r="58" spans="2:11" ht="12.75" customHeight="1">
      <c r="B58" s="10"/>
      <c r="C58" s="120" t="s">
        <v>60</v>
      </c>
      <c r="D58" s="120"/>
      <c r="E58" s="121"/>
      <c r="F58" s="121"/>
      <c r="G58" s="121"/>
      <c r="H58" s="121"/>
      <c r="I58" s="121"/>
      <c r="J58" s="12"/>
    </row>
    <row r="59" spans="2:11" ht="12.75" customHeight="1">
      <c r="B59" s="10"/>
      <c r="C59" s="120" t="s">
        <v>61</v>
      </c>
      <c r="D59" s="120"/>
      <c r="E59" s="119" t="s">
        <v>62</v>
      </c>
      <c r="F59" s="119"/>
      <c r="G59" s="32" t="s">
        <v>63</v>
      </c>
      <c r="H59" s="32" t="s">
        <v>62</v>
      </c>
      <c r="I59" s="32" t="s">
        <v>64</v>
      </c>
      <c r="J59" s="12"/>
      <c r="K59" s="34"/>
    </row>
    <row r="60" spans="2:11" ht="12.75" customHeight="1">
      <c r="B60" s="10"/>
      <c r="C60" s="114" t="s">
        <v>65</v>
      </c>
      <c r="D60" s="114"/>
      <c r="E60" s="122">
        <v>7</v>
      </c>
      <c r="F60" s="122"/>
      <c r="G60" s="35">
        <f>+E60*4800</f>
        <v>33600</v>
      </c>
      <c r="H60" s="57">
        <v>8</v>
      </c>
      <c r="I60" s="35">
        <f>+H60*7500</f>
        <v>60000</v>
      </c>
      <c r="J60" s="12"/>
    </row>
    <row r="61" spans="2:11" ht="12.75" customHeight="1">
      <c r="B61" s="10"/>
      <c r="C61" s="114" t="s">
        <v>66</v>
      </c>
      <c r="D61" s="114"/>
      <c r="E61" s="122">
        <v>25</v>
      </c>
      <c r="F61" s="122"/>
      <c r="G61" s="35">
        <f>+E61*12000</f>
        <v>300000</v>
      </c>
      <c r="H61" s="57">
        <v>27</v>
      </c>
      <c r="I61" s="35">
        <f>+H61*19000</f>
        <v>513000</v>
      </c>
      <c r="J61" s="12"/>
    </row>
    <row r="62" spans="2:11" ht="12.75" customHeight="1">
      <c r="B62" s="10"/>
      <c r="C62" s="114" t="s">
        <v>67</v>
      </c>
      <c r="D62" s="114"/>
      <c r="E62" s="122">
        <v>30</v>
      </c>
      <c r="F62" s="122"/>
      <c r="G62" s="35">
        <f>+E62*9600</f>
        <v>288000</v>
      </c>
      <c r="H62" s="57">
        <v>30</v>
      </c>
      <c r="I62" s="35">
        <f>+H62*16000</f>
        <v>480000</v>
      </c>
      <c r="J62" s="12"/>
    </row>
    <row r="63" spans="2:11" ht="12.75" customHeight="1">
      <c r="B63" s="10"/>
      <c r="C63" s="114" t="s">
        <v>68</v>
      </c>
      <c r="D63" s="114"/>
      <c r="E63" s="122">
        <v>20</v>
      </c>
      <c r="F63" s="122"/>
      <c r="G63" s="35">
        <f>+E63*6000</f>
        <v>120000</v>
      </c>
      <c r="H63" s="57">
        <v>21</v>
      </c>
      <c r="I63" s="35">
        <f>+H63*11000</f>
        <v>231000</v>
      </c>
      <c r="J63" s="12"/>
    </row>
    <row r="64" spans="2:11" ht="12.75" customHeight="1">
      <c r="B64" s="10"/>
      <c r="C64" s="114" t="s">
        <v>69</v>
      </c>
      <c r="D64" s="114"/>
      <c r="E64" s="122">
        <v>10</v>
      </c>
      <c r="F64" s="122"/>
      <c r="G64" s="35">
        <f>+E64*4800</f>
        <v>48000</v>
      </c>
      <c r="H64" s="57">
        <v>11</v>
      </c>
      <c r="I64" s="35">
        <f>+H64*10000</f>
        <v>110000</v>
      </c>
      <c r="J64" s="12"/>
    </row>
    <row r="65" spans="2:10" ht="12.75" customHeight="1">
      <c r="B65" s="10"/>
      <c r="C65" s="123" t="s">
        <v>70</v>
      </c>
      <c r="D65" s="123"/>
      <c r="E65" s="124">
        <f>SUM(E60:E64)</f>
        <v>92</v>
      </c>
      <c r="F65" s="124"/>
      <c r="G65" s="35">
        <f>SUM(G60:G64)</f>
        <v>789600</v>
      </c>
      <c r="H65" s="35">
        <f>SUM(H60:H64)</f>
        <v>97</v>
      </c>
      <c r="I65" s="35">
        <f>SUM(I60:I64)</f>
        <v>1394000</v>
      </c>
      <c r="J65" s="12"/>
    </row>
    <row r="66" spans="2:10" ht="12.75" customHeight="1">
      <c r="B66" s="27"/>
      <c r="C66" s="28"/>
      <c r="D66" s="28"/>
      <c r="E66" s="28"/>
      <c r="F66" s="28"/>
      <c r="G66" s="28"/>
      <c r="H66" s="28"/>
      <c r="I66" s="28"/>
      <c r="J66" s="29"/>
    </row>
    <row r="67" spans="2:10" ht="12.75" customHeight="1">
      <c r="B67" s="112" t="s">
        <v>71</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49</v>
      </c>
      <c r="D69" s="49" t="s">
        <v>50</v>
      </c>
      <c r="E69" s="50" t="s">
        <v>51</v>
      </c>
      <c r="F69" s="50" t="s">
        <v>52</v>
      </c>
      <c r="G69" s="49" t="s">
        <v>53</v>
      </c>
      <c r="H69" s="51" t="s">
        <v>54</v>
      </c>
      <c r="I69" s="51" t="s">
        <v>55</v>
      </c>
      <c r="J69" s="12"/>
    </row>
    <row r="70" spans="2:10" ht="12.75" customHeight="1">
      <c r="B70" s="10"/>
      <c r="C70" s="18" t="s">
        <v>56</v>
      </c>
      <c r="D70" s="52">
        <v>3.5</v>
      </c>
      <c r="E70" s="52">
        <v>0.25</v>
      </c>
      <c r="F70" s="58">
        <v>70</v>
      </c>
      <c r="G70" s="59"/>
      <c r="H70" s="55"/>
      <c r="I70" s="56"/>
      <c r="J70" s="12"/>
    </row>
    <row r="71" spans="2:10" ht="12.75" customHeight="1">
      <c r="B71" s="10"/>
      <c r="C71" s="41" t="s">
        <v>40</v>
      </c>
      <c r="D71" s="52">
        <v>6</v>
      </c>
      <c r="E71" s="52">
        <v>1</v>
      </c>
      <c r="F71" s="58">
        <v>90</v>
      </c>
      <c r="G71" s="59"/>
      <c r="H71" s="55"/>
      <c r="I71" s="56"/>
      <c r="J71" s="12"/>
    </row>
    <row r="72" spans="2:10" ht="12.75" customHeight="1">
      <c r="B72" s="10"/>
      <c r="C72" s="41" t="s">
        <v>42</v>
      </c>
      <c r="D72" s="52">
        <v>5.99</v>
      </c>
      <c r="E72" s="52">
        <v>0.99</v>
      </c>
      <c r="F72" s="58">
        <v>88</v>
      </c>
      <c r="G72" s="59"/>
      <c r="H72" s="55"/>
      <c r="I72" s="56"/>
      <c r="J72" s="12"/>
    </row>
    <row r="73" spans="2:10" ht="12.75" customHeight="1">
      <c r="B73" s="10"/>
      <c r="C73" s="18" t="s">
        <v>57</v>
      </c>
      <c r="D73" s="52">
        <v>4</v>
      </c>
      <c r="E73" s="52">
        <v>1</v>
      </c>
      <c r="F73" s="58">
        <v>76</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58</v>
      </c>
      <c r="F75" s="119"/>
      <c r="G75" s="119"/>
      <c r="H75" s="119" t="s">
        <v>59</v>
      </c>
      <c r="I75" s="119"/>
      <c r="J75" s="12"/>
    </row>
    <row r="76" spans="2:10" ht="12.75" customHeight="1">
      <c r="B76" s="10"/>
      <c r="C76" s="120" t="s">
        <v>60</v>
      </c>
      <c r="D76" s="120"/>
      <c r="E76" s="121"/>
      <c r="F76" s="121"/>
      <c r="G76" s="121"/>
      <c r="H76" s="121"/>
      <c r="I76" s="121"/>
      <c r="J76" s="12"/>
    </row>
    <row r="77" spans="2:10" ht="12.75" customHeight="1">
      <c r="B77" s="10"/>
      <c r="C77" s="120" t="s">
        <v>61</v>
      </c>
      <c r="D77" s="120"/>
      <c r="E77" s="119" t="s">
        <v>62</v>
      </c>
      <c r="F77" s="119"/>
      <c r="G77" s="32" t="s">
        <v>63</v>
      </c>
      <c r="H77" s="32" t="s">
        <v>62</v>
      </c>
      <c r="I77" s="32" t="s">
        <v>64</v>
      </c>
      <c r="J77" s="12"/>
    </row>
    <row r="78" spans="2:10" ht="12.75" customHeight="1">
      <c r="B78" s="10"/>
      <c r="C78" s="114" t="s">
        <v>65</v>
      </c>
      <c r="D78" s="114"/>
      <c r="E78" s="122">
        <v>3</v>
      </c>
      <c r="F78" s="122"/>
      <c r="G78" s="35">
        <f>+E78*4800</f>
        <v>14400</v>
      </c>
      <c r="H78" s="57">
        <v>10</v>
      </c>
      <c r="I78" s="35">
        <f>+H78*7500</f>
        <v>75000</v>
      </c>
      <c r="J78" s="12"/>
    </row>
    <row r="79" spans="2:10" ht="12.75" customHeight="1">
      <c r="B79" s="10"/>
      <c r="C79" s="114" t="s">
        <v>66</v>
      </c>
      <c r="D79" s="114"/>
      <c r="E79" s="122">
        <v>5</v>
      </c>
      <c r="F79" s="122"/>
      <c r="G79" s="35">
        <f>+E79*12000</f>
        <v>60000</v>
      </c>
      <c r="H79" s="57">
        <v>28</v>
      </c>
      <c r="I79" s="35">
        <f>+H79*19000</f>
        <v>532000</v>
      </c>
      <c r="J79" s="12"/>
    </row>
    <row r="80" spans="2:10" ht="12.75" customHeight="1">
      <c r="B80" s="10"/>
      <c r="C80" s="114" t="s">
        <v>67</v>
      </c>
      <c r="D80" s="114"/>
      <c r="E80" s="122">
        <v>4</v>
      </c>
      <c r="F80" s="122"/>
      <c r="G80" s="35">
        <f>+E80*9600</f>
        <v>38400</v>
      </c>
      <c r="H80" s="57">
        <v>27</v>
      </c>
      <c r="I80" s="35">
        <f>+H80*16000</f>
        <v>432000</v>
      </c>
      <c r="J80" s="12"/>
    </row>
    <row r="81" spans="2:10" ht="12.75" customHeight="1">
      <c r="B81" s="10"/>
      <c r="C81" s="114" t="s">
        <v>68</v>
      </c>
      <c r="D81" s="114"/>
      <c r="E81" s="122">
        <v>2</v>
      </c>
      <c r="F81" s="122"/>
      <c r="G81" s="35">
        <f>+E81*6000</f>
        <v>12000</v>
      </c>
      <c r="H81" s="57">
        <v>29</v>
      </c>
      <c r="I81" s="35">
        <f>+H81*11000</f>
        <v>319000</v>
      </c>
      <c r="J81" s="12"/>
    </row>
    <row r="82" spans="2:10" ht="12.75" customHeight="1">
      <c r="B82" s="10"/>
      <c r="C82" s="114" t="s">
        <v>69</v>
      </c>
      <c r="D82" s="114"/>
      <c r="E82" s="122">
        <v>3</v>
      </c>
      <c r="F82" s="122"/>
      <c r="G82" s="35">
        <f>+E82*4800</f>
        <v>14400</v>
      </c>
      <c r="H82" s="57">
        <v>14</v>
      </c>
      <c r="I82" s="35">
        <f>+H82*10000</f>
        <v>140000</v>
      </c>
      <c r="J82" s="12"/>
    </row>
    <row r="83" spans="2:10" ht="12.75" customHeight="1">
      <c r="B83" s="10"/>
      <c r="C83" s="123" t="s">
        <v>70</v>
      </c>
      <c r="D83" s="123"/>
      <c r="E83" s="124">
        <f>SUM(E78:E82)</f>
        <v>17</v>
      </c>
      <c r="F83" s="124"/>
      <c r="G83" s="35">
        <f>SUM(G78:G82)</f>
        <v>139200</v>
      </c>
      <c r="H83" s="35">
        <f>SUM(H78:H82)</f>
        <v>108</v>
      </c>
      <c r="I83" s="35">
        <f>SUM(I78:I82)</f>
        <v>1498000</v>
      </c>
      <c r="J83" s="12"/>
    </row>
    <row r="84" spans="2:10" ht="12.75" customHeight="1">
      <c r="B84" s="27"/>
      <c r="C84" s="28"/>
      <c r="D84" s="28"/>
      <c r="E84" s="28"/>
      <c r="F84" s="28"/>
      <c r="G84" s="28"/>
      <c r="H84" s="28"/>
      <c r="I84" s="28"/>
      <c r="J84" s="29"/>
    </row>
    <row r="85" spans="2:10" ht="12.75" customHeight="1"/>
    <row r="86" spans="2:10" ht="12.75" customHeight="1">
      <c r="B86" s="125" t="s">
        <v>72</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73</v>
      </c>
      <c r="F88" s="119"/>
      <c r="G88" s="119"/>
      <c r="H88" s="119" t="s">
        <v>74</v>
      </c>
      <c r="I88" s="119"/>
      <c r="J88" s="12"/>
    </row>
    <row r="89" spans="2:10" ht="16.5" customHeight="1">
      <c r="B89" s="10"/>
      <c r="C89" s="120" t="s">
        <v>49</v>
      </c>
      <c r="D89" s="120"/>
      <c r="E89" s="126" t="s">
        <v>70</v>
      </c>
      <c r="F89" s="126"/>
      <c r="G89" s="61" t="s">
        <v>75</v>
      </c>
      <c r="H89" s="51" t="s">
        <v>70</v>
      </c>
      <c r="I89" s="61" t="s">
        <v>75</v>
      </c>
      <c r="J89" s="12"/>
    </row>
    <row r="90" spans="2:10" ht="12.75" customHeight="1">
      <c r="B90" s="10"/>
      <c r="C90" s="123" t="s">
        <v>56</v>
      </c>
      <c r="D90" s="123"/>
      <c r="E90" s="127">
        <v>1000000</v>
      </c>
      <c r="F90" s="127"/>
      <c r="G90" s="30"/>
      <c r="H90" s="30"/>
      <c r="I90" s="30"/>
      <c r="J90" s="12"/>
    </row>
    <row r="91" spans="2:10" ht="12.75" customHeight="1">
      <c r="B91" s="10"/>
      <c r="C91" s="123" t="s">
        <v>40</v>
      </c>
      <c r="D91" s="123"/>
      <c r="E91" s="127">
        <v>1250000</v>
      </c>
      <c r="F91" s="127"/>
      <c r="G91" s="30"/>
      <c r="H91" s="30"/>
      <c r="I91" s="30"/>
      <c r="J91" s="12"/>
    </row>
    <row r="92" spans="2:10" ht="12.75" customHeight="1">
      <c r="B92" s="10"/>
      <c r="C92" s="123" t="s">
        <v>42</v>
      </c>
      <c r="D92" s="123"/>
      <c r="E92" s="127">
        <v>250000</v>
      </c>
      <c r="F92" s="127"/>
      <c r="G92" s="30"/>
      <c r="H92" s="30"/>
      <c r="I92" s="30"/>
      <c r="J92" s="12"/>
    </row>
    <row r="93" spans="2:10" ht="12.75" customHeight="1">
      <c r="B93" s="10"/>
      <c r="C93" s="123" t="s">
        <v>57</v>
      </c>
      <c r="D93" s="123"/>
      <c r="E93" s="127">
        <v>1000000</v>
      </c>
      <c r="F93" s="127"/>
      <c r="G93" s="30"/>
      <c r="H93" s="30"/>
      <c r="I93" s="30"/>
      <c r="J93" s="12"/>
    </row>
    <row r="94" spans="2:10" ht="12.75" customHeight="1">
      <c r="B94" s="10"/>
      <c r="C94" s="123" t="s">
        <v>70</v>
      </c>
      <c r="D94" s="123"/>
      <c r="E94" s="124">
        <f>SUM(E90:E93)</f>
        <v>3500000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76</v>
      </c>
      <c r="D96" s="116"/>
      <c r="E96" s="116"/>
      <c r="F96" s="116"/>
      <c r="G96" s="116"/>
      <c r="H96" s="62">
        <f>+E94+H94</f>
        <v>3500000</v>
      </c>
      <c r="I96" s="60"/>
      <c r="J96" s="12"/>
    </row>
    <row r="97" spans="2:10" ht="12.75" customHeight="1">
      <c r="B97" s="10"/>
      <c r="C97" s="116" t="s">
        <v>77</v>
      </c>
      <c r="D97" s="116"/>
      <c r="E97" s="116"/>
      <c r="F97" s="116"/>
      <c r="G97" s="116"/>
      <c r="H97" s="63"/>
      <c r="I97" s="60"/>
      <c r="J97" s="12"/>
    </row>
    <row r="98" spans="2:10" ht="12.75" customHeight="1">
      <c r="B98" s="10"/>
      <c r="C98" s="116" t="s">
        <v>78</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79</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73</v>
      </c>
      <c r="F102" s="119"/>
      <c r="G102" s="119"/>
      <c r="H102" s="119" t="s">
        <v>74</v>
      </c>
      <c r="I102" s="119"/>
      <c r="J102" s="12"/>
    </row>
    <row r="103" spans="2:10" ht="16.5" customHeight="1">
      <c r="B103" s="10"/>
      <c r="C103" s="120" t="s">
        <v>49</v>
      </c>
      <c r="D103" s="120"/>
      <c r="E103" s="126" t="s">
        <v>70</v>
      </c>
      <c r="F103" s="126"/>
      <c r="G103" s="61" t="s">
        <v>75</v>
      </c>
      <c r="H103" s="51" t="s">
        <v>70</v>
      </c>
      <c r="I103" s="61" t="s">
        <v>75</v>
      </c>
      <c r="J103" s="12"/>
    </row>
    <row r="104" spans="2:10" ht="12.75" customHeight="1">
      <c r="B104" s="10"/>
      <c r="C104" s="123" t="s">
        <v>56</v>
      </c>
      <c r="D104" s="123"/>
      <c r="E104" s="127">
        <v>2000000</v>
      </c>
      <c r="F104" s="127"/>
      <c r="G104" s="30"/>
      <c r="H104" s="30"/>
      <c r="I104" s="30"/>
      <c r="J104" s="12"/>
    </row>
    <row r="105" spans="2:10" ht="12.75" customHeight="1">
      <c r="B105" s="10"/>
      <c r="C105" s="123" t="s">
        <v>40</v>
      </c>
      <c r="D105" s="123"/>
      <c r="E105" s="127">
        <v>2350000</v>
      </c>
      <c r="F105" s="127"/>
      <c r="G105" s="30"/>
      <c r="H105" s="30"/>
      <c r="I105" s="30"/>
      <c r="J105" s="12"/>
    </row>
    <row r="106" spans="2:10" ht="12.75" customHeight="1">
      <c r="B106" s="10"/>
      <c r="C106" s="123" t="s">
        <v>42</v>
      </c>
      <c r="D106" s="123"/>
      <c r="E106" s="127">
        <v>2350000</v>
      </c>
      <c r="F106" s="127"/>
      <c r="G106" s="30"/>
      <c r="H106" s="30"/>
      <c r="I106" s="30"/>
      <c r="J106" s="12"/>
    </row>
    <row r="107" spans="2:10" ht="12.75" customHeight="1">
      <c r="B107" s="10"/>
      <c r="C107" s="123" t="s">
        <v>57</v>
      </c>
      <c r="D107" s="123"/>
      <c r="E107" s="127">
        <v>2000000</v>
      </c>
      <c r="F107" s="127"/>
      <c r="G107" s="30"/>
      <c r="H107" s="30"/>
      <c r="I107" s="30"/>
      <c r="J107" s="12"/>
    </row>
    <row r="108" spans="2:10" ht="12.75" customHeight="1">
      <c r="B108" s="10"/>
      <c r="C108" s="123" t="s">
        <v>70</v>
      </c>
      <c r="D108" s="123"/>
      <c r="E108" s="124">
        <f>SUM(E104:E107)</f>
        <v>8700000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76</v>
      </c>
      <c r="D110" s="116"/>
      <c r="E110" s="116"/>
      <c r="F110" s="116"/>
      <c r="G110" s="116"/>
      <c r="H110" s="62">
        <f>+E108+H108</f>
        <v>8700000</v>
      </c>
      <c r="I110" s="11"/>
      <c r="J110" s="12"/>
    </row>
    <row r="111" spans="2:10" ht="12.75" customHeight="1">
      <c r="B111" s="10"/>
      <c r="C111" s="116" t="s">
        <v>77</v>
      </c>
      <c r="D111" s="116"/>
      <c r="E111" s="116"/>
      <c r="F111" s="116"/>
      <c r="G111" s="116"/>
      <c r="H111" s="63"/>
      <c r="I111" s="11"/>
      <c r="J111" s="12"/>
    </row>
    <row r="112" spans="2:10" ht="12.75" customHeight="1">
      <c r="B112" s="10"/>
      <c r="C112" s="116" t="s">
        <v>78</v>
      </c>
      <c r="D112" s="116"/>
      <c r="E112" s="116"/>
      <c r="F112" s="116"/>
      <c r="G112" s="116"/>
      <c r="H112" s="62">
        <f>+I35-H110</f>
        <v>50000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80</v>
      </c>
      <c r="C115" s="125"/>
      <c r="D115" s="125"/>
      <c r="E115" s="125"/>
      <c r="F115" s="125"/>
      <c r="G115" s="125"/>
      <c r="H115" s="125"/>
      <c r="I115" s="125"/>
      <c r="J115" s="125"/>
    </row>
    <row r="116" spans="2:10" ht="12.75" customHeight="1">
      <c r="B116" s="64"/>
      <c r="C116" s="128" t="s">
        <v>81</v>
      </c>
      <c r="D116" s="128"/>
      <c r="E116" s="128"/>
      <c r="F116" s="128"/>
      <c r="G116" s="128"/>
      <c r="H116" s="128"/>
      <c r="I116" s="128"/>
      <c r="J116" s="64"/>
    </row>
    <row r="117" spans="2:10" ht="12.75" customHeight="1">
      <c r="B117" s="11"/>
      <c r="C117" s="116" t="s">
        <v>82</v>
      </c>
      <c r="D117" s="116"/>
      <c r="E117" s="116"/>
      <c r="F117" s="116"/>
      <c r="G117" s="116"/>
      <c r="H117" s="42">
        <v>2.06</v>
      </c>
      <c r="I117" s="66"/>
      <c r="J117" s="60"/>
    </row>
    <row r="118" spans="2:10" ht="12.75" customHeight="1">
      <c r="B118" s="11"/>
      <c r="C118" s="116" t="s">
        <v>83</v>
      </c>
      <c r="D118" s="116"/>
      <c r="E118" s="116"/>
      <c r="F118" s="116"/>
      <c r="G118" s="116"/>
      <c r="H118" s="42">
        <v>0.97</v>
      </c>
      <c r="I118" s="66"/>
      <c r="J118" s="60"/>
    </row>
    <row r="119" spans="2:10" ht="12.75" customHeight="1">
      <c r="B119" s="11"/>
      <c r="C119" s="116" t="s">
        <v>84</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80</v>
      </c>
      <c r="C121" s="125"/>
      <c r="D121" s="125"/>
      <c r="E121" s="125"/>
      <c r="F121" s="125"/>
      <c r="G121" s="125"/>
      <c r="H121" s="125"/>
      <c r="I121" s="125"/>
      <c r="J121" s="125"/>
    </row>
    <row r="122" spans="2:10" ht="12.75" customHeight="1">
      <c r="B122" s="11"/>
      <c r="C122" s="128" t="s">
        <v>85</v>
      </c>
      <c r="D122" s="128"/>
      <c r="E122" s="128"/>
      <c r="F122" s="128"/>
      <c r="G122" s="128"/>
      <c r="H122" s="128"/>
      <c r="I122" s="128"/>
      <c r="J122" s="11"/>
    </row>
    <row r="123" spans="2:10" ht="12.75" customHeight="1">
      <c r="B123" s="11"/>
      <c r="C123" s="70" t="s">
        <v>86</v>
      </c>
      <c r="D123" s="70"/>
      <c r="E123" s="71"/>
      <c r="F123" s="71"/>
      <c r="G123" s="71"/>
      <c r="H123" s="71"/>
      <c r="I123" s="72"/>
      <c r="J123" s="65"/>
    </row>
    <row r="124" spans="2:10" ht="12.75" customHeight="1">
      <c r="B124" s="11"/>
      <c r="C124" s="73"/>
      <c r="D124" s="73" t="s">
        <v>87</v>
      </c>
      <c r="E124" s="73"/>
      <c r="F124" s="73"/>
      <c r="G124" s="73"/>
      <c r="H124" s="73"/>
      <c r="I124" s="74">
        <f>+(D52*(E90+H90))+(D53*(E91+H91))+(D54*(E92+H92))+(D55*(E93+H93))</f>
        <v>40750000</v>
      </c>
      <c r="J124" s="69"/>
    </row>
    <row r="125" spans="2:10" ht="12.75" customHeight="1">
      <c r="B125" s="11"/>
      <c r="C125" s="73"/>
      <c r="D125" s="75" t="s">
        <v>88</v>
      </c>
      <c r="E125" s="75"/>
      <c r="F125" s="75"/>
      <c r="G125" s="75"/>
      <c r="H125" s="75"/>
      <c r="I125" s="74">
        <f>+(E52*(E90+H90))+(E53*(E91+H91))+(E54*(E92+H92))+(E55*(E93+H93))</f>
        <v>3625000</v>
      </c>
      <c r="J125" s="69"/>
    </row>
    <row r="126" spans="2:10" ht="12.75" customHeight="1">
      <c r="B126" s="11"/>
      <c r="C126" s="76" t="s">
        <v>89</v>
      </c>
      <c r="D126" s="76"/>
      <c r="E126" s="76"/>
      <c r="F126" s="76"/>
      <c r="G126" s="76"/>
      <c r="H126" s="76"/>
      <c r="I126" s="77">
        <f>+I124-I125</f>
        <v>37125000</v>
      </c>
      <c r="J126" s="78"/>
    </row>
    <row r="127" spans="2:10" ht="12.75" customHeight="1">
      <c r="B127" s="11"/>
      <c r="C127" s="71" t="s">
        <v>90</v>
      </c>
      <c r="D127" s="71"/>
      <c r="E127" s="71"/>
      <c r="F127" s="71"/>
      <c r="G127" s="71"/>
      <c r="H127" s="71"/>
      <c r="I127" s="79"/>
      <c r="J127" s="78"/>
    </row>
    <row r="128" spans="2:10" ht="12.75" customHeight="1">
      <c r="B128" s="11"/>
      <c r="C128" s="73"/>
      <c r="D128" s="75" t="s">
        <v>91</v>
      </c>
      <c r="E128" s="75"/>
      <c r="F128" s="75"/>
      <c r="G128" s="75"/>
      <c r="H128" s="75"/>
      <c r="I128" s="74">
        <f>+H96*H117</f>
        <v>7210000</v>
      </c>
      <c r="J128" s="69"/>
    </row>
    <row r="129" spans="2:10" ht="12.75" customHeight="1">
      <c r="B129" s="11"/>
      <c r="C129" s="73"/>
      <c r="D129" s="75" t="s">
        <v>92</v>
      </c>
      <c r="E129" s="75"/>
      <c r="F129" s="75"/>
      <c r="G129" s="75"/>
      <c r="H129" s="75"/>
      <c r="I129" s="74">
        <f>+(I52*H90)+(I53*H91)+(I54*H92)+(I55*H93)</f>
        <v>0</v>
      </c>
      <c r="J129" s="69"/>
    </row>
    <row r="130" spans="2:10" ht="12.75" customHeight="1">
      <c r="B130" s="11"/>
      <c r="C130" s="73"/>
      <c r="D130" s="75" t="s">
        <v>93</v>
      </c>
      <c r="E130" s="75"/>
      <c r="F130" s="75"/>
      <c r="G130" s="75"/>
      <c r="H130" s="75"/>
      <c r="I130" s="74">
        <f>+(((D52*(E90-G90))+(D53*(E91-G91))+(D54*(E92-G92))+(D55*(E93-'MMT31'!G93)))*0.0846)+(((D52*(H90-I90))+(D53*(H91-I91))+(D54*(H92-I92))+(D55*(H93-I93)))*0.065)</f>
        <v>3447450.0000000005</v>
      </c>
      <c r="J130" s="69"/>
    </row>
    <row r="131" spans="2:10" ht="12.75" customHeight="1">
      <c r="B131" s="11"/>
      <c r="C131" s="73"/>
      <c r="D131" s="75" t="s">
        <v>94</v>
      </c>
      <c r="E131" s="75"/>
      <c r="F131" s="75"/>
      <c r="G131" s="75"/>
      <c r="H131" s="75"/>
      <c r="I131" s="74">
        <f>+((E90+E91+E92+H90+H91+H92)*0.01)+((E93+H93)*0.03)</f>
        <v>55000</v>
      </c>
      <c r="J131" s="69"/>
    </row>
    <row r="132" spans="2:10" ht="12.75" customHeight="1">
      <c r="B132" s="11"/>
      <c r="C132" s="73"/>
      <c r="D132" s="75" t="s">
        <v>95</v>
      </c>
      <c r="E132" s="75"/>
      <c r="F132" s="75"/>
      <c r="G132" s="75"/>
      <c r="H132" s="75"/>
      <c r="I132" s="74">
        <f>+(G90+G91+G92+I90+I91+I92+G93+I93)*0.05</f>
        <v>0</v>
      </c>
      <c r="J132" s="69"/>
    </row>
    <row r="133" spans="2:10" ht="12.75" customHeight="1">
      <c r="B133" s="11"/>
      <c r="C133" s="73"/>
      <c r="D133" s="75" t="s">
        <v>96</v>
      </c>
      <c r="E133" s="75"/>
      <c r="F133" s="75"/>
      <c r="G133" s="75"/>
      <c r="H133" s="75"/>
      <c r="I133" s="74">
        <f>((SUM(G90:G92)+SUM(I90:I92))*0.01)+((G93+I93)*0.02)</f>
        <v>0</v>
      </c>
      <c r="J133" s="69"/>
    </row>
    <row r="134" spans="2:10" ht="12.75" customHeight="1">
      <c r="B134" s="11"/>
      <c r="C134" s="73"/>
      <c r="D134" s="75" t="s">
        <v>97</v>
      </c>
      <c r="E134" s="75"/>
      <c r="F134" s="75"/>
      <c r="G134" s="75"/>
      <c r="H134" s="75"/>
      <c r="I134" s="74">
        <f>+((G93+I93)*(H117+0.03))*0.02</f>
        <v>0</v>
      </c>
      <c r="J134" s="69"/>
    </row>
    <row r="135" spans="2:10" ht="12.75" customHeight="1">
      <c r="B135" s="11"/>
      <c r="C135" s="80" t="s">
        <v>98</v>
      </c>
      <c r="D135" s="81"/>
      <c r="E135" s="81"/>
      <c r="F135" s="81"/>
      <c r="G135" s="81"/>
      <c r="H135" s="81"/>
      <c r="I135" s="77">
        <f>SUM(I128:I134)</f>
        <v>10712450</v>
      </c>
      <c r="J135" s="78"/>
    </row>
    <row r="136" spans="2:10" ht="12.75" customHeight="1">
      <c r="B136" s="11"/>
      <c r="C136" s="82" t="s">
        <v>99</v>
      </c>
      <c r="D136" s="82"/>
      <c r="E136" s="82"/>
      <c r="F136" s="82"/>
      <c r="G136" s="82"/>
      <c r="H136" s="82"/>
      <c r="I136" s="83">
        <f>+I126-I135</f>
        <v>26412550</v>
      </c>
      <c r="J136" s="78"/>
    </row>
    <row r="137" spans="2:10" ht="12.75" customHeight="1">
      <c r="B137" s="11"/>
      <c r="C137" s="71" t="s">
        <v>100</v>
      </c>
      <c r="D137" s="71"/>
      <c r="E137" s="70"/>
      <c r="F137" s="70"/>
      <c r="G137" s="70"/>
      <c r="H137" s="70"/>
      <c r="I137" s="84"/>
      <c r="J137" s="65"/>
    </row>
    <row r="138" spans="2:10" ht="12.75" customHeight="1">
      <c r="B138" s="11"/>
      <c r="C138" s="73"/>
      <c r="D138" s="73" t="s">
        <v>87</v>
      </c>
      <c r="E138" s="73"/>
      <c r="F138" s="73"/>
      <c r="G138" s="73"/>
      <c r="H138" s="73"/>
      <c r="I138" s="74">
        <f>($D$70*($E$104+$H$104))+($D$71*($E$105+$H$105))+($D$72*($E$106+$H$106))+($D$73*($E$107+$H$107))</f>
        <v>43176500</v>
      </c>
      <c r="J138" s="69"/>
    </row>
    <row r="139" spans="2:10" ht="12.75" customHeight="1">
      <c r="B139" s="11"/>
      <c r="C139" s="73"/>
      <c r="D139" s="75" t="s">
        <v>88</v>
      </c>
      <c r="E139" s="75"/>
      <c r="F139" s="75"/>
      <c r="G139" s="75"/>
      <c r="H139" s="75"/>
      <c r="I139" s="74">
        <f>($E$70*($E$104+$H$104))+($E$71*($E$105+$H$105))+($E$72*($E$106+$H$106))+($E$73*($E$107+$H$107))</f>
        <v>7176500</v>
      </c>
      <c r="J139" s="69"/>
    </row>
    <row r="140" spans="2:10" ht="12.75" customHeight="1">
      <c r="B140" s="11"/>
      <c r="C140" s="76" t="s">
        <v>101</v>
      </c>
      <c r="D140" s="76"/>
      <c r="E140" s="76"/>
      <c r="F140" s="76"/>
      <c r="G140" s="76"/>
      <c r="H140" s="76"/>
      <c r="I140" s="77">
        <f>+I138-I139</f>
        <v>36000000</v>
      </c>
      <c r="J140" s="78"/>
    </row>
    <row r="141" spans="2:10" ht="12.75" customHeight="1">
      <c r="B141" s="11"/>
      <c r="C141" s="71" t="s">
        <v>102</v>
      </c>
      <c r="D141" s="71"/>
      <c r="E141" s="71"/>
      <c r="F141" s="71"/>
      <c r="G141" s="71"/>
      <c r="H141" s="71"/>
      <c r="I141" s="79"/>
      <c r="J141" s="78"/>
    </row>
    <row r="142" spans="2:10" ht="12.75" customHeight="1">
      <c r="B142" s="11"/>
      <c r="C142" s="73"/>
      <c r="D142" s="75" t="s">
        <v>91</v>
      </c>
      <c r="E142" s="75"/>
      <c r="F142" s="75"/>
      <c r="G142" s="75"/>
      <c r="H142" s="75"/>
      <c r="I142" s="74">
        <f>H110*H118</f>
        <v>8439000</v>
      </c>
      <c r="J142" s="69"/>
    </row>
    <row r="143" spans="2:10" ht="12.75" customHeight="1">
      <c r="B143" s="11"/>
      <c r="C143" s="73"/>
      <c r="D143" s="75" t="s">
        <v>92</v>
      </c>
      <c r="E143" s="75"/>
      <c r="F143" s="75"/>
      <c r="G143" s="75"/>
      <c r="H143" s="75"/>
      <c r="I143" s="74">
        <f>($I$70*H$104)+($I$71*$H$105)+($I$72*$H$106)+($I$73*$H$107)</f>
        <v>0</v>
      </c>
      <c r="J143" s="69"/>
    </row>
    <row r="144" spans="2:10" ht="12.75" customHeight="1">
      <c r="B144" s="11"/>
      <c r="C144" s="73"/>
      <c r="D144" s="75" t="s">
        <v>93</v>
      </c>
      <c r="E144" s="75"/>
      <c r="F144" s="75"/>
      <c r="G144" s="75"/>
      <c r="H144" s="75"/>
      <c r="I144" s="74">
        <f>(((D70*(E104-G104))+(D71*(E105-G105))+(D72*(E106-G106))+(D73*(E107-G107)))*0.0846)+(((D70*(H104-I104))+(D71*(H105-I105))+(D72*(H106-I106))+(D73*(H107-I107)))*0.065)</f>
        <v>3652731.9000000004</v>
      </c>
      <c r="J144" s="69"/>
    </row>
    <row r="145" spans="2:10" ht="12.75" customHeight="1">
      <c r="B145" s="11"/>
      <c r="C145" s="73"/>
      <c r="D145" s="75" t="s">
        <v>103</v>
      </c>
      <c r="E145" s="75"/>
      <c r="F145" s="75"/>
      <c r="G145" s="75"/>
      <c r="H145" s="75"/>
      <c r="I145" s="74">
        <f>((E104+E105+E106+H104+H105+H106)*0.01)+((E107+H107)*0.03)</f>
        <v>127000</v>
      </c>
      <c r="J145" s="69"/>
    </row>
    <row r="146" spans="2:10" ht="12.75" customHeight="1">
      <c r="B146" s="11"/>
      <c r="C146" s="73"/>
      <c r="D146" s="75" t="s">
        <v>95</v>
      </c>
      <c r="E146" s="75"/>
      <c r="F146" s="75"/>
      <c r="G146" s="75"/>
      <c r="H146" s="75"/>
      <c r="I146" s="74">
        <f>($G$104+$G$105+$G$106+$G$107+$I$104+$I$105+$I$106+$I$107)*0.05</f>
        <v>0</v>
      </c>
      <c r="J146" s="69"/>
    </row>
    <row r="147" spans="2:10" ht="12.75" customHeight="1">
      <c r="B147" s="11"/>
      <c r="C147" s="73"/>
      <c r="D147" s="75" t="s">
        <v>96</v>
      </c>
      <c r="E147" s="75"/>
      <c r="F147" s="75"/>
      <c r="G147" s="75"/>
      <c r="H147" s="75"/>
      <c r="I147" s="74">
        <f>((SUM(G104:G106)+SUM(I104:I106))*0.01)+((G107+I107)*0.02)</f>
        <v>0</v>
      </c>
      <c r="J147" s="69"/>
    </row>
    <row r="148" spans="2:10" ht="12.75" customHeight="1">
      <c r="B148" s="11"/>
      <c r="C148" s="73"/>
      <c r="D148" s="75" t="s">
        <v>97</v>
      </c>
      <c r="E148" s="75"/>
      <c r="F148" s="75"/>
      <c r="G148" s="75"/>
      <c r="H148" s="75"/>
      <c r="I148" s="74">
        <f>((G107+I107)*(H118+0.03))*0.02</f>
        <v>0</v>
      </c>
      <c r="J148" s="69"/>
    </row>
    <row r="149" spans="2:10" ht="12.75" customHeight="1">
      <c r="B149" s="11"/>
      <c r="C149" s="80" t="s">
        <v>104</v>
      </c>
      <c r="D149" s="81"/>
      <c r="E149" s="81"/>
      <c r="F149" s="81"/>
      <c r="G149" s="81"/>
      <c r="H149" s="81"/>
      <c r="I149" s="77">
        <f>SUM(I142:I148)</f>
        <v>12218731.9</v>
      </c>
      <c r="J149" s="78"/>
    </row>
    <row r="150" spans="2:10" ht="12.75" customHeight="1">
      <c r="B150" s="11"/>
      <c r="C150" s="82" t="s">
        <v>105</v>
      </c>
      <c r="D150" s="82"/>
      <c r="E150" s="82"/>
      <c r="F150" s="82"/>
      <c r="G150" s="82"/>
      <c r="H150" s="82"/>
      <c r="I150" s="83">
        <f>+I140-I149</f>
        <v>23781268.100000001</v>
      </c>
      <c r="J150" s="78"/>
    </row>
    <row r="151" spans="2:10" ht="12.75" customHeight="1">
      <c r="B151" s="11"/>
      <c r="C151" s="71" t="s">
        <v>106</v>
      </c>
      <c r="D151" s="71"/>
      <c r="E151" s="71"/>
      <c r="F151" s="71"/>
      <c r="G151" s="71"/>
      <c r="H151" s="71"/>
      <c r="I151" s="79"/>
      <c r="J151" s="78"/>
    </row>
    <row r="152" spans="2:10" ht="12.75" customHeight="1">
      <c r="B152" s="11"/>
      <c r="C152" s="73"/>
      <c r="D152" s="75" t="s">
        <v>107</v>
      </c>
      <c r="E152" s="75"/>
      <c r="F152" s="75"/>
      <c r="G152" s="75"/>
      <c r="H152" s="75"/>
      <c r="I152" s="74">
        <f>+H184*0.1</f>
        <v>2990000</v>
      </c>
      <c r="J152" s="69"/>
    </row>
    <row r="153" spans="2:10" ht="12.75" customHeight="1">
      <c r="B153" s="11"/>
      <c r="C153" s="73"/>
      <c r="D153" s="75" t="s">
        <v>108</v>
      </c>
      <c r="E153" s="75"/>
      <c r="F153" s="75"/>
      <c r="G153" s="75"/>
      <c r="H153" s="75"/>
      <c r="I153" s="85">
        <v>3000000</v>
      </c>
      <c r="J153" s="69"/>
    </row>
    <row r="154" spans="2:10" ht="12.75" customHeight="1">
      <c r="B154" s="11"/>
      <c r="C154" s="73"/>
      <c r="D154" s="75" t="s">
        <v>109</v>
      </c>
      <c r="E154" s="75"/>
      <c r="F154" s="75"/>
      <c r="G154" s="75"/>
      <c r="H154" s="75"/>
      <c r="I154" s="74">
        <f>+(I124+I138)*0.045</f>
        <v>3776692.5</v>
      </c>
      <c r="J154" s="69"/>
    </row>
    <row r="155" spans="2:10" ht="12.75" customHeight="1">
      <c r="B155" s="11"/>
      <c r="C155" s="73"/>
      <c r="D155" s="75" t="s">
        <v>110</v>
      </c>
      <c r="E155" s="75"/>
      <c r="F155" s="75"/>
      <c r="G155" s="75"/>
      <c r="H155" s="75"/>
      <c r="I155" s="74">
        <f>(50000*D46)+((D40+D41)*D46*I40)</f>
        <v>518000</v>
      </c>
      <c r="J155" s="69"/>
    </row>
    <row r="156" spans="2:10" ht="12.75" customHeight="1">
      <c r="B156" s="11"/>
      <c r="C156" s="73"/>
      <c r="D156" s="75" t="s">
        <v>111</v>
      </c>
      <c r="E156" s="75"/>
      <c r="F156" s="75"/>
      <c r="G156" s="75"/>
      <c r="H156" s="75"/>
      <c r="I156" s="74">
        <f>(60000*D47)*I20</f>
        <v>360000</v>
      </c>
      <c r="J156" s="69"/>
    </row>
    <row r="157" spans="2:10" ht="12.75" customHeight="1">
      <c r="B157" s="11"/>
      <c r="C157" s="73"/>
      <c r="D157" s="75" t="s">
        <v>112</v>
      </c>
      <c r="E157" s="75"/>
      <c r="F157" s="75"/>
      <c r="G157" s="75"/>
      <c r="H157" s="75"/>
      <c r="I157" s="74">
        <f>(((D53-E53)*G91)+((D54-E54)*G92)+((D71-E71)*G105)+((D72-E72)*G106))*(I41/100)</f>
        <v>0</v>
      </c>
      <c r="J157" s="69"/>
    </row>
    <row r="158" spans="2:10" ht="12.75" customHeight="1">
      <c r="B158" s="11"/>
      <c r="C158" s="73"/>
      <c r="D158" s="75" t="s">
        <v>113</v>
      </c>
      <c r="E158" s="75"/>
      <c r="F158" s="75"/>
      <c r="G158" s="75"/>
      <c r="H158" s="75"/>
      <c r="I158" s="74">
        <f>I46</f>
        <v>0</v>
      </c>
      <c r="J158" s="69"/>
    </row>
    <row r="159" spans="2:10" ht="12.75" customHeight="1">
      <c r="B159" s="11"/>
      <c r="C159" s="73"/>
      <c r="D159" s="75" t="s">
        <v>114</v>
      </c>
      <c r="E159" s="75"/>
      <c r="F159" s="75"/>
      <c r="G159" s="75"/>
      <c r="H159" s="75"/>
      <c r="I159" s="74">
        <f>G65+(I65*I20)</f>
        <v>2183600</v>
      </c>
      <c r="J159" s="69"/>
    </row>
    <row r="160" spans="2:10" ht="12.75" customHeight="1">
      <c r="B160" s="11"/>
      <c r="C160" s="73"/>
      <c r="D160" s="75" t="s">
        <v>115</v>
      </c>
      <c r="E160" s="75"/>
      <c r="F160" s="75"/>
      <c r="G160" s="75"/>
      <c r="H160" s="75"/>
      <c r="I160" s="74">
        <f>G83+(I83*I20)</f>
        <v>1637200</v>
      </c>
      <c r="J160" s="69"/>
    </row>
    <row r="161" spans="2:11" ht="12.75" customHeight="1">
      <c r="B161" s="11"/>
      <c r="C161" s="80" t="s">
        <v>116</v>
      </c>
      <c r="D161" s="81"/>
      <c r="E161" s="81"/>
      <c r="F161" s="81"/>
      <c r="G161" s="81"/>
      <c r="H161" s="81"/>
      <c r="I161" s="77">
        <f>SUM(I152:I160)</f>
        <v>14465492.5</v>
      </c>
      <c r="J161" s="78"/>
    </row>
    <row r="162" spans="2:11" ht="12.75" customHeight="1">
      <c r="B162" s="11"/>
      <c r="C162" s="82" t="s">
        <v>117</v>
      </c>
      <c r="D162" s="82"/>
      <c r="E162" s="82"/>
      <c r="F162" s="82"/>
      <c r="G162" s="82"/>
      <c r="H162" s="82"/>
      <c r="I162" s="83">
        <f>+I136+I150-I161</f>
        <v>35728325.600000001</v>
      </c>
      <c r="J162" s="78"/>
    </row>
    <row r="163" spans="2:11" ht="15" customHeight="1">
      <c r="B163" s="11"/>
      <c r="C163" s="71" t="s">
        <v>118</v>
      </c>
      <c r="D163" s="71"/>
      <c r="E163" s="71"/>
      <c r="F163" s="71"/>
      <c r="G163" s="71"/>
      <c r="H163" s="71"/>
      <c r="I163" s="79"/>
      <c r="J163" s="78"/>
      <c r="K163" s="86"/>
    </row>
    <row r="164" spans="2:11" ht="15" customHeight="1">
      <c r="B164" s="11"/>
      <c r="C164" s="73"/>
      <c r="D164" s="87" t="s">
        <v>119</v>
      </c>
      <c r="E164" s="87"/>
      <c r="F164" s="87"/>
      <c r="G164" s="87"/>
      <c r="H164" s="87"/>
      <c r="I164" s="74">
        <f>+H26*(I17/100)</f>
        <v>0</v>
      </c>
      <c r="J164" s="69"/>
      <c r="K164" s="86"/>
    </row>
    <row r="165" spans="2:11" ht="15" customHeight="1">
      <c r="B165" s="11"/>
      <c r="C165" s="73"/>
      <c r="D165" s="87" t="s">
        <v>120</v>
      </c>
      <c r="E165" s="87"/>
      <c r="F165" s="87"/>
      <c r="G165" s="87"/>
      <c r="H165" s="87"/>
      <c r="I165" s="85"/>
      <c r="J165" s="69"/>
      <c r="K165" s="86"/>
    </row>
    <row r="166" spans="2:11" ht="15" customHeight="1">
      <c r="B166" s="11"/>
      <c r="C166" s="73"/>
      <c r="D166" s="75" t="s">
        <v>121</v>
      </c>
      <c r="E166" s="75"/>
      <c r="F166" s="75"/>
      <c r="G166" s="75"/>
      <c r="H166" s="75"/>
      <c r="I166" s="74">
        <f>(H24+I191)*(I14/100)</f>
        <v>0</v>
      </c>
      <c r="J166" s="69"/>
      <c r="K166" s="86"/>
    </row>
    <row r="167" spans="2:11" ht="15" customHeight="1">
      <c r="B167" s="11"/>
      <c r="C167" s="73"/>
      <c r="D167" s="75" t="s">
        <v>122</v>
      </c>
      <c r="E167" s="75"/>
      <c r="F167" s="75"/>
      <c r="G167" s="75"/>
      <c r="H167" s="75"/>
      <c r="I167" s="74">
        <f>(H24*(I15/100))+(H25*(I16/100))</f>
        <v>0</v>
      </c>
      <c r="J167" s="69"/>
      <c r="K167" s="86"/>
    </row>
    <row r="168" spans="2:11" ht="15" customHeight="1">
      <c r="B168" s="11"/>
      <c r="C168" s="73"/>
      <c r="D168" s="75" t="s">
        <v>123</v>
      </c>
      <c r="E168" s="75"/>
      <c r="F168" s="75"/>
      <c r="G168" s="75"/>
      <c r="H168" s="75"/>
      <c r="I168" s="85"/>
      <c r="J168" s="69"/>
      <c r="K168" s="86"/>
    </row>
    <row r="169" spans="2:11" ht="15" customHeight="1">
      <c r="B169" s="11"/>
      <c r="C169" s="73"/>
      <c r="D169" s="87" t="s">
        <v>124</v>
      </c>
      <c r="E169" s="87"/>
      <c r="F169" s="87"/>
      <c r="G169" s="87"/>
      <c r="H169" s="87"/>
      <c r="I169" s="85"/>
      <c r="J169" s="69"/>
      <c r="K169" s="86"/>
    </row>
    <row r="170" spans="2:11" ht="15" customHeight="1">
      <c r="B170" s="11"/>
      <c r="C170" s="80" t="s">
        <v>125</v>
      </c>
      <c r="D170" s="81"/>
      <c r="E170" s="81"/>
      <c r="F170" s="81"/>
      <c r="G170" s="81"/>
      <c r="H170" s="81"/>
      <c r="I170" s="77">
        <f>+I164+I165-I166-I167-I168-I169</f>
        <v>0</v>
      </c>
      <c r="J170" s="78"/>
      <c r="K170" s="86"/>
    </row>
    <row r="171" spans="2:11" ht="15" customHeight="1">
      <c r="B171" s="11"/>
      <c r="C171" s="71" t="s">
        <v>126</v>
      </c>
      <c r="D171" s="71"/>
      <c r="E171" s="71"/>
      <c r="F171" s="71"/>
      <c r="G171" s="71"/>
      <c r="H171" s="71"/>
      <c r="I171" s="79"/>
      <c r="J171" s="78"/>
      <c r="K171" s="86"/>
    </row>
    <row r="172" spans="2:11" ht="15" customHeight="1">
      <c r="B172" s="11"/>
      <c r="C172" s="73"/>
      <c r="D172" s="75" t="s">
        <v>127</v>
      </c>
      <c r="E172" s="75"/>
      <c r="F172" s="75"/>
      <c r="G172" s="75"/>
      <c r="H172" s="75"/>
      <c r="I172" s="74">
        <v>0</v>
      </c>
      <c r="J172" s="69"/>
      <c r="K172" s="86"/>
    </row>
    <row r="173" spans="2:11" ht="15" customHeight="1">
      <c r="B173" s="11"/>
      <c r="C173" s="73"/>
      <c r="D173" s="75" t="s">
        <v>128</v>
      </c>
      <c r="E173" s="75"/>
      <c r="F173" s="75"/>
      <c r="G173" s="75"/>
      <c r="H173" s="75"/>
      <c r="I173" s="74">
        <v>0</v>
      </c>
      <c r="J173" s="69"/>
      <c r="K173" s="86"/>
    </row>
    <row r="174" spans="2:11" ht="15" customHeight="1">
      <c r="B174" s="11"/>
      <c r="C174" s="80" t="s">
        <v>129</v>
      </c>
      <c r="D174" s="81"/>
      <c r="E174" s="81"/>
      <c r="F174" s="81"/>
      <c r="G174" s="81"/>
      <c r="H174" s="81"/>
      <c r="I174" s="77">
        <f>+I172-I173</f>
        <v>0</v>
      </c>
      <c r="J174" s="78"/>
      <c r="K174" s="86"/>
    </row>
    <row r="175" spans="2:11" ht="15" customHeight="1">
      <c r="B175" s="11"/>
      <c r="C175" s="82" t="s">
        <v>130</v>
      </c>
      <c r="D175" s="82"/>
      <c r="E175" s="82"/>
      <c r="F175" s="82"/>
      <c r="G175" s="82"/>
      <c r="H175" s="82"/>
      <c r="I175" s="83">
        <f>+I162+I170+I174</f>
        <v>35728325.600000001</v>
      </c>
      <c r="J175" s="78"/>
      <c r="K175" s="86"/>
    </row>
    <row r="176" spans="2:11" ht="12.75" customHeight="1">
      <c r="B176" s="11"/>
      <c r="C176" s="129" t="s">
        <v>131</v>
      </c>
      <c r="D176" s="129"/>
      <c r="E176" s="129"/>
      <c r="F176" s="129"/>
      <c r="G176" s="129"/>
      <c r="H176" s="129"/>
      <c r="I176" s="129"/>
      <c r="J176" s="65"/>
    </row>
    <row r="177" spans="2:10" ht="12.75" customHeight="1">
      <c r="B177" s="11"/>
      <c r="C177" s="71" t="s">
        <v>132</v>
      </c>
      <c r="D177" s="88"/>
      <c r="E177" s="88"/>
      <c r="F177" s="88"/>
      <c r="G177" s="88"/>
      <c r="H177" s="89" t="s">
        <v>133</v>
      </c>
      <c r="I177" s="90" t="s">
        <v>134</v>
      </c>
      <c r="J177" s="91"/>
    </row>
    <row r="178" spans="2:10" ht="12.75" customHeight="1">
      <c r="B178" s="11"/>
      <c r="C178" s="73" t="s">
        <v>135</v>
      </c>
      <c r="D178" s="73"/>
      <c r="E178" s="73"/>
      <c r="F178" s="73"/>
      <c r="G178" s="73"/>
      <c r="H178" s="74">
        <f>I178+I179+H24+I128+I142+I152+I175-H25-H26-H30-(H34*H117)-(I34*H118)-I189</f>
        <v>62669825.599999994</v>
      </c>
      <c r="I178" s="92">
        <v>24000000</v>
      </c>
      <c r="J178" s="69"/>
    </row>
    <row r="179" spans="2:10" ht="12.75" customHeight="1">
      <c r="B179" s="11"/>
      <c r="C179" s="73" t="s">
        <v>136</v>
      </c>
      <c r="D179" s="73"/>
      <c r="E179" s="73"/>
      <c r="F179" s="73"/>
      <c r="G179" s="73"/>
      <c r="H179" s="74">
        <f>+H26</f>
        <v>0</v>
      </c>
      <c r="I179" s="92">
        <v>0</v>
      </c>
      <c r="J179" s="69"/>
    </row>
    <row r="180" spans="2:10" ht="12.75" customHeight="1">
      <c r="B180" s="11"/>
      <c r="C180" s="73" t="s">
        <v>137</v>
      </c>
      <c r="D180" s="73"/>
      <c r="E180" s="73"/>
      <c r="F180" s="73"/>
      <c r="G180" s="73"/>
      <c r="H180" s="74">
        <f>+G181+G182</f>
        <v>48500</v>
      </c>
      <c r="I180" s="92">
        <v>0</v>
      </c>
      <c r="J180" s="69"/>
    </row>
    <row r="181" spans="2:10" ht="12.75" customHeight="1">
      <c r="B181" s="11"/>
      <c r="C181" s="73"/>
      <c r="D181" s="75" t="s">
        <v>138</v>
      </c>
      <c r="E181" s="73"/>
      <c r="F181" s="73"/>
      <c r="G181" s="93">
        <f>+(H98*H117)</f>
        <v>0</v>
      </c>
      <c r="H181" s="74"/>
      <c r="I181" s="74"/>
      <c r="J181" s="69"/>
    </row>
    <row r="182" spans="2:10" ht="12.75" customHeight="1">
      <c r="B182" s="11"/>
      <c r="C182" s="73"/>
      <c r="D182" s="75" t="s">
        <v>139</v>
      </c>
      <c r="E182" s="73"/>
      <c r="F182" s="73"/>
      <c r="G182" s="93">
        <f>(H112*H118)</f>
        <v>48500</v>
      </c>
      <c r="H182" s="74"/>
      <c r="I182" s="74"/>
      <c r="J182" s="69"/>
    </row>
    <row r="183" spans="2:10" ht="12.75" customHeight="1">
      <c r="B183" s="11"/>
      <c r="C183" s="94" t="s">
        <v>140</v>
      </c>
      <c r="D183" s="95"/>
      <c r="E183" s="95"/>
      <c r="F183" s="95"/>
      <c r="G183" s="95"/>
      <c r="H183" s="83">
        <f>SUM(H178:H180)</f>
        <v>62718325.599999994</v>
      </c>
      <c r="I183" s="83">
        <f>SUM(I178:I180)</f>
        <v>24000000</v>
      </c>
      <c r="J183" s="78"/>
    </row>
    <row r="184" spans="2:10" ht="12.75" customHeight="1">
      <c r="B184" s="11"/>
      <c r="C184" s="73" t="s">
        <v>141</v>
      </c>
      <c r="D184" s="73"/>
      <c r="E184" s="73"/>
      <c r="F184" s="73"/>
      <c r="G184" s="73"/>
      <c r="H184" s="85">
        <v>29900000</v>
      </c>
      <c r="I184" s="92">
        <v>29900000</v>
      </c>
      <c r="J184" s="69"/>
    </row>
    <row r="185" spans="2:10" ht="12.75" customHeight="1">
      <c r="B185" s="11"/>
      <c r="C185" s="73" t="s">
        <v>142</v>
      </c>
      <c r="D185" s="73"/>
      <c r="E185" s="73"/>
      <c r="F185" s="73"/>
      <c r="G185" s="73"/>
      <c r="H185" s="74">
        <f>-I152+I185</f>
        <v>-2990000</v>
      </c>
      <c r="I185" s="92">
        <v>0</v>
      </c>
      <c r="J185" s="69"/>
    </row>
    <row r="186" spans="2:10" ht="12.75" customHeight="1">
      <c r="B186" s="11"/>
      <c r="C186" s="94" t="s">
        <v>143</v>
      </c>
      <c r="D186" s="95"/>
      <c r="E186" s="95"/>
      <c r="F186" s="95"/>
      <c r="G186" s="95"/>
      <c r="H186" s="83">
        <f>SUM(H184:H185)</f>
        <v>26910000</v>
      </c>
      <c r="I186" s="83">
        <f>SUM(I184:I185)</f>
        <v>29900000</v>
      </c>
      <c r="J186" s="78"/>
    </row>
    <row r="187" spans="2:10" ht="12.75" customHeight="1">
      <c r="B187" s="11"/>
      <c r="C187" s="96" t="s">
        <v>144</v>
      </c>
      <c r="D187" s="97"/>
      <c r="E187" s="97"/>
      <c r="F187" s="97"/>
      <c r="G187" s="97"/>
      <c r="H187" s="83">
        <f>+H183+H186</f>
        <v>89628325.599999994</v>
      </c>
      <c r="I187" s="83">
        <f>+I183+I186</f>
        <v>53900000</v>
      </c>
      <c r="J187" s="78"/>
    </row>
    <row r="188" spans="2:10" ht="12.75" customHeight="1">
      <c r="B188" s="11"/>
      <c r="C188" s="71" t="s">
        <v>145</v>
      </c>
      <c r="D188" s="88"/>
      <c r="E188" s="88"/>
      <c r="F188" s="88"/>
      <c r="G188" s="88"/>
      <c r="H188" s="98"/>
      <c r="I188" s="98"/>
      <c r="J188" s="69"/>
    </row>
    <row r="189" spans="2:10" ht="12.75" customHeight="1">
      <c r="B189" s="11"/>
      <c r="C189" s="73" t="s">
        <v>146</v>
      </c>
      <c r="D189" s="73"/>
      <c r="E189" s="73"/>
      <c r="F189" s="73"/>
      <c r="G189" s="73"/>
      <c r="H189" s="74">
        <f>($H$24+$I$191)/$I$13</f>
        <v>0</v>
      </c>
      <c r="I189" s="92">
        <v>0</v>
      </c>
      <c r="J189" s="69"/>
    </row>
    <row r="190" spans="2:10" ht="12.75" customHeight="1">
      <c r="B190" s="11"/>
      <c r="C190" s="94" t="s">
        <v>147</v>
      </c>
      <c r="D190" s="95"/>
      <c r="E190" s="95"/>
      <c r="F190" s="95"/>
      <c r="G190" s="95"/>
      <c r="H190" s="83">
        <f>+H189</f>
        <v>0</v>
      </c>
      <c r="I190" s="83">
        <f>+I189</f>
        <v>0</v>
      </c>
      <c r="J190" s="78"/>
    </row>
    <row r="191" spans="2:10" ht="12.75" customHeight="1">
      <c r="B191" s="11"/>
      <c r="C191" s="73" t="s">
        <v>148</v>
      </c>
      <c r="D191" s="73"/>
      <c r="E191" s="73"/>
      <c r="F191" s="73"/>
      <c r="G191" s="73"/>
      <c r="H191" s="74">
        <f>(($H$24+$I$191)/($I$13))*($I$13-1)</f>
        <v>0</v>
      </c>
      <c r="I191" s="92">
        <v>0</v>
      </c>
      <c r="J191" s="69"/>
    </row>
    <row r="192" spans="2:10" ht="12.75" customHeight="1">
      <c r="B192" s="11"/>
      <c r="C192" s="94" t="s">
        <v>149</v>
      </c>
      <c r="D192" s="95"/>
      <c r="E192" s="95"/>
      <c r="F192" s="95"/>
      <c r="G192" s="95"/>
      <c r="H192" s="83">
        <f>+H191</f>
        <v>0</v>
      </c>
      <c r="I192" s="83">
        <f>+I191</f>
        <v>0</v>
      </c>
      <c r="J192" s="78"/>
    </row>
    <row r="193" spans="2:11" ht="12.75" customHeight="1">
      <c r="B193" s="11"/>
      <c r="C193" s="96" t="s">
        <v>150</v>
      </c>
      <c r="D193" s="97"/>
      <c r="E193" s="97"/>
      <c r="F193" s="97"/>
      <c r="G193" s="97"/>
      <c r="H193" s="83">
        <f>+H190+H192</f>
        <v>0</v>
      </c>
      <c r="I193" s="83">
        <f>+I190+I192</f>
        <v>0</v>
      </c>
      <c r="J193" s="78"/>
    </row>
    <row r="194" spans="2:11" ht="12.75" customHeight="1">
      <c r="B194" s="11"/>
      <c r="C194" s="71" t="s">
        <v>151</v>
      </c>
      <c r="D194" s="88"/>
      <c r="E194" s="88"/>
      <c r="F194" s="88"/>
      <c r="G194" s="98"/>
      <c r="H194" s="98"/>
      <c r="I194" s="98"/>
      <c r="J194" s="69"/>
    </row>
    <row r="195" spans="2:11" ht="12.75" customHeight="1">
      <c r="B195" s="11"/>
      <c r="C195" s="73" t="s">
        <v>152</v>
      </c>
      <c r="D195" s="73"/>
      <c r="E195" s="73"/>
      <c r="F195" s="73"/>
      <c r="G195" s="73"/>
      <c r="H195" s="74">
        <v>53900000</v>
      </c>
      <c r="I195" s="74">
        <v>53900000</v>
      </c>
      <c r="J195" s="69"/>
    </row>
    <row r="196" spans="2:11" ht="12.75" customHeight="1">
      <c r="B196" s="11"/>
      <c r="C196" s="73" t="s">
        <v>153</v>
      </c>
      <c r="D196" s="73"/>
      <c r="E196" s="73"/>
      <c r="F196" s="73"/>
      <c r="G196" s="73"/>
      <c r="H196" s="74">
        <f>I197</f>
        <v>0</v>
      </c>
      <c r="I196" s="92">
        <v>0</v>
      </c>
      <c r="J196" s="69"/>
    </row>
    <row r="197" spans="2:11" ht="12.75" customHeight="1">
      <c r="B197" s="11"/>
      <c r="C197" s="73" t="s">
        <v>154</v>
      </c>
      <c r="D197" s="73"/>
      <c r="E197" s="73"/>
      <c r="F197" s="73"/>
      <c r="G197" s="73"/>
      <c r="H197" s="74">
        <f>I175</f>
        <v>35728325.600000001</v>
      </c>
      <c r="I197" s="92">
        <v>0</v>
      </c>
      <c r="J197" s="69"/>
    </row>
    <row r="198" spans="2:11" ht="12.75" customHeight="1">
      <c r="B198" s="11"/>
      <c r="C198" s="96" t="s">
        <v>155</v>
      </c>
      <c r="D198" s="97"/>
      <c r="E198" s="97"/>
      <c r="F198" s="97"/>
      <c r="G198" s="97"/>
      <c r="H198" s="83">
        <f>SUM(H195:H197)</f>
        <v>89628325.599999994</v>
      </c>
      <c r="I198" s="83">
        <f>SUM(I195:I197)</f>
        <v>53900000</v>
      </c>
      <c r="J198" s="78"/>
    </row>
    <row r="199" spans="2:11" ht="15" customHeight="1">
      <c r="B199" s="11"/>
      <c r="C199" s="99" t="s">
        <v>156</v>
      </c>
      <c r="D199" s="100"/>
      <c r="E199" s="100"/>
      <c r="F199" s="100"/>
      <c r="G199" s="100"/>
      <c r="H199" s="101"/>
      <c r="I199" s="102"/>
      <c r="J199" s="103"/>
      <c r="K199" s="86"/>
    </row>
    <row r="200" spans="2:11" ht="15" customHeight="1">
      <c r="B200" s="11"/>
      <c r="C200" s="104" t="s">
        <v>157</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158</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