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I65" i="1" s="1"/>
  <c r="I159" i="1" s="1"/>
  <c r="G61" i="1"/>
  <c r="I61" i="1"/>
  <c r="G62" i="1"/>
  <c r="I62" i="1"/>
  <c r="G63" i="1"/>
  <c r="I63" i="1"/>
  <c r="G64" i="1"/>
  <c r="I64" i="1"/>
  <c r="E65" i="1"/>
  <c r="H65" i="1"/>
  <c r="G78" i="1"/>
  <c r="G83" i="1" s="1"/>
  <c r="I160" i="1" s="1"/>
  <c r="I78" i="1"/>
  <c r="G79" i="1"/>
  <c r="I79" i="1"/>
  <c r="G80" i="1"/>
  <c r="I80" i="1"/>
  <c r="G81" i="1"/>
  <c r="I81" i="1"/>
  <c r="G82" i="1"/>
  <c r="I82" i="1"/>
  <c r="E83" i="1"/>
  <c r="H83" i="1"/>
  <c r="E94" i="1"/>
  <c r="G94" i="1"/>
  <c r="H94" i="1"/>
  <c r="I94" i="1"/>
  <c r="H96" i="1"/>
  <c r="I128" i="1" s="1"/>
  <c r="E108" i="1"/>
  <c r="G108" i="1"/>
  <c r="H108" i="1"/>
  <c r="I108" i="1"/>
  <c r="H110" i="1"/>
  <c r="H112" i="1"/>
  <c r="G182" i="1" s="1"/>
  <c r="H119" i="1"/>
  <c r="I124" i="1"/>
  <c r="I125" i="1"/>
  <c r="I129" i="1"/>
  <c r="I130" i="1"/>
  <c r="I131" i="1"/>
  <c r="I132" i="1"/>
  <c r="I133" i="1"/>
  <c r="I134" i="1"/>
  <c r="I138" i="1"/>
  <c r="I154" i="1" s="1"/>
  <c r="I139" i="1"/>
  <c r="I143" i="1"/>
  <c r="I144" i="1"/>
  <c r="I145" i="1"/>
  <c r="I146" i="1"/>
  <c r="I147" i="1"/>
  <c r="I148" i="1"/>
  <c r="I152" i="1"/>
  <c r="H185" i="1" s="1"/>
  <c r="H186" i="1" s="1"/>
  <c r="I155" i="1"/>
  <c r="I156" i="1"/>
  <c r="I157" i="1"/>
  <c r="I158" i="1"/>
  <c r="I164" i="1"/>
  <c r="I170" i="1" s="1"/>
  <c r="I166" i="1"/>
  <c r="I167" i="1"/>
  <c r="I174" i="1"/>
  <c r="H179" i="1"/>
  <c r="I183" i="1"/>
  <c r="I186" i="1"/>
  <c r="I187" i="1"/>
  <c r="H189" i="1"/>
  <c r="H190" i="1"/>
  <c r="I190" i="1"/>
  <c r="H191" i="1"/>
  <c r="H192" i="1" s="1"/>
  <c r="I192" i="1"/>
  <c r="I193" i="1" s="1"/>
  <c r="H196" i="1"/>
  <c r="I198" i="1"/>
  <c r="I149" i="1"/>
  <c r="I142" i="1"/>
  <c r="I126" i="1"/>
  <c r="I83" i="1"/>
  <c r="I140" i="1"/>
  <c r="G65" i="1"/>
  <c r="I150" i="1"/>
  <c r="H193" i="1" l="1"/>
  <c r="I135" i="1"/>
  <c r="I136" i="1" s="1"/>
  <c r="I162" i="1" s="1"/>
  <c r="I175" i="1" s="1"/>
  <c r="I161" i="1"/>
  <c r="H98" i="1"/>
  <c r="G181" i="1" s="1"/>
  <c r="H180"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<sst xmlns="http://schemas.openxmlformats.org/spreadsheetml/2006/main" count="223" uniqueCount="160">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</sst>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2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39" zoomScale="140" zoomScaleNormal="140" zoomScaleSheetLayoutView="120" workbookViewId="0">
      <selection activeCell="H111" sqref="H111"/>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7500000</v>
      </c>
      <c r="J34" s="12"/>
    </row>
    <row r="35" spans="2:11" ht="12.75" customHeight="1">
      <c r="B35" s="10"/>
      <c r="C35" s="114" t="s">
        <v>36</v>
      </c>
      <c r="D35" s="114"/>
      <c r="E35" s="114"/>
      <c r="F35" s="114"/>
      <c r="G35" s="114"/>
      <c r="H35" s="35">
        <f>+H33+H34</f>
        <v>3000000</v>
      </c>
      <c r="I35" s="35">
        <f>+I33+I34</f>
        <v>7500000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30000</v>
      </c>
      <c r="J40" s="12"/>
    </row>
    <row r="41" spans="2:11" ht="12.75" customHeight="1">
      <c r="B41" s="10"/>
      <c r="C41" s="18" t="s">
        <v>42</v>
      </c>
      <c r="D41" s="115">
        <v>1</v>
      </c>
      <c r="E41" s="115"/>
      <c r="F41" s="11"/>
      <c r="G41" s="116" t="s">
        <v>43</v>
      </c>
      <c r="H41" s="116"/>
      <c r="I41" s="43">
        <v>0.8</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5</v>
      </c>
      <c r="E46" s="11"/>
      <c r="F46" s="117" t="s">
        <v>47</v>
      </c>
      <c r="G46" s="117"/>
      <c r="H46" s="117"/>
      <c r="I46" s="30"/>
      <c r="J46" s="12"/>
    </row>
    <row r="47" spans="2:11" ht="12.75" customHeight="1">
      <c r="B47" s="10"/>
      <c r="C47" s="18" t="s">
        <v>48</v>
      </c>
      <c r="D47" s="48">
        <v>11</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v>
      </c>
      <c r="E52" s="52">
        <v>1.5</v>
      </c>
      <c r="F52" s="53">
        <v>90</v>
      </c>
      <c r="G52" s="54"/>
      <c r="H52" s="55"/>
      <c r="I52" s="56"/>
      <c r="J52" s="12"/>
    </row>
    <row r="53" spans="2:11" ht="12.75" customHeight="1">
      <c r="B53" s="10"/>
      <c r="C53" s="41" t="s">
        <v>40</v>
      </c>
      <c r="D53" s="52">
        <v>7.5</v>
      </c>
      <c r="E53" s="52">
        <v>1</v>
      </c>
      <c r="F53" s="53">
        <v>80</v>
      </c>
      <c r="G53" s="54"/>
      <c r="H53" s="55"/>
      <c r="I53" s="56"/>
      <c r="J53" s="12"/>
    </row>
    <row r="54" spans="2:11" ht="12.75" customHeight="1">
      <c r="B54" s="10"/>
      <c r="C54" s="41" t="s">
        <v>42</v>
      </c>
      <c r="D54" s="52">
        <v>7.5</v>
      </c>
      <c r="E54" s="52">
        <v>1</v>
      </c>
      <c r="F54" s="53">
        <v>80</v>
      </c>
      <c r="G54" s="54"/>
      <c r="H54" s="55"/>
      <c r="I54" s="56"/>
      <c r="J54" s="12"/>
    </row>
    <row r="55" spans="2:11" ht="12.75" customHeight="1">
      <c r="B55" s="10"/>
      <c r="C55" s="18" t="s">
        <v>58</v>
      </c>
      <c r="D55" s="52">
        <v>8</v>
      </c>
      <c r="E55" s="52">
        <v>1.5</v>
      </c>
      <c r="F55" s="53">
        <v>90</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20</v>
      </c>
      <c r="F60" s="122"/>
      <c r="G60" s="35">
        <f>+E60*4800</f>
        <v>96000</v>
      </c>
      <c r="H60" s="57">
        <v>20</v>
      </c>
      <c r="I60" s="35">
        <f>+H60*7500</f>
        <v>150000</v>
      </c>
      <c r="J60" s="12"/>
    </row>
    <row r="61" spans="2:11" ht="12.75" customHeight="1">
      <c r="B61" s="10"/>
      <c r="C61" s="114" t="s">
        <v>67</v>
      </c>
      <c r="D61" s="114"/>
      <c r="E61" s="122">
        <v>30</v>
      </c>
      <c r="F61" s="122"/>
      <c r="G61" s="35">
        <f>+E61*12000</f>
        <v>360000</v>
      </c>
      <c r="H61" s="57">
        <v>30</v>
      </c>
      <c r="I61" s="35">
        <f>+H61*19000</f>
        <v>570000</v>
      </c>
      <c r="J61" s="12"/>
    </row>
    <row r="62" spans="2:11" ht="12.75" customHeight="1">
      <c r="B62" s="10"/>
      <c r="C62" s="114" t="s">
        <v>68</v>
      </c>
      <c r="D62" s="114"/>
      <c r="E62" s="122">
        <v>30</v>
      </c>
      <c r="F62" s="122"/>
      <c r="G62" s="35">
        <f>+E62*9600</f>
        <v>288000</v>
      </c>
      <c r="H62" s="57">
        <v>30</v>
      </c>
      <c r="I62" s="35">
        <f>+H62*16000</f>
        <v>480000</v>
      </c>
      <c r="J62" s="12"/>
    </row>
    <row r="63" spans="2:11" ht="12.75" customHeight="1">
      <c r="B63" s="10"/>
      <c r="C63" s="114" t="s">
        <v>69</v>
      </c>
      <c r="D63" s="114"/>
      <c r="E63" s="122">
        <v>30</v>
      </c>
      <c r="F63" s="122"/>
      <c r="G63" s="35">
        <f>+E63*6000</f>
        <v>180000</v>
      </c>
      <c r="H63" s="57">
        <v>30</v>
      </c>
      <c r="I63" s="35">
        <f>+H63*11000</f>
        <v>330000</v>
      </c>
      <c r="J63" s="12"/>
    </row>
    <row r="64" spans="2:11" ht="12.75" customHeight="1">
      <c r="B64" s="10"/>
      <c r="C64" s="114" t="s">
        <v>70</v>
      </c>
      <c r="D64" s="114"/>
      <c r="E64" s="122">
        <v>20</v>
      </c>
      <c r="F64" s="122"/>
      <c r="G64" s="35">
        <f>+E64*4800</f>
        <v>96000</v>
      </c>
      <c r="H64" s="57">
        <v>20</v>
      </c>
      <c r="I64" s="35">
        <f>+H64*10000</f>
        <v>200000</v>
      </c>
      <c r="J64" s="12"/>
    </row>
    <row r="65" spans="2:10" ht="12.75" customHeight="1">
      <c r="B65" s="10"/>
      <c r="C65" s="123" t="s">
        <v>71</v>
      </c>
      <c r="D65" s="123"/>
      <c r="E65" s="124">
        <f>SUM(E60:E64)</f>
        <v>130</v>
      </c>
      <c r="F65" s="124"/>
      <c r="G65" s="35">
        <f>SUM(G60:G64)</f>
        <v>1020000</v>
      </c>
      <c r="H65" s="35">
        <f>SUM(H60:H64)</f>
        <v>130</v>
      </c>
      <c r="I65" s="35">
        <f>SUM(I60:I64)</f>
        <v>1730000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4.5</v>
      </c>
      <c r="E70" s="52">
        <v>0.8</v>
      </c>
      <c r="F70" s="58">
        <v>90</v>
      </c>
      <c r="G70" s="59"/>
      <c r="H70" s="55"/>
      <c r="I70" s="56"/>
      <c r="J70" s="12"/>
    </row>
    <row r="71" spans="2:10" ht="12.75" customHeight="1">
      <c r="B71" s="10"/>
      <c r="C71" s="41" t="s">
        <v>40</v>
      </c>
      <c r="D71" s="52">
        <v>4</v>
      </c>
      <c r="E71" s="52">
        <v>0.5</v>
      </c>
      <c r="F71" s="58">
        <v>80</v>
      </c>
      <c r="G71" s="59"/>
      <c r="H71" s="55"/>
      <c r="I71" s="56"/>
      <c r="J71" s="12"/>
    </row>
    <row r="72" spans="2:10" ht="12.75" customHeight="1">
      <c r="B72" s="10"/>
      <c r="C72" s="41" t="s">
        <v>42</v>
      </c>
      <c r="D72" s="52">
        <v>4</v>
      </c>
      <c r="E72" s="52">
        <v>0.5</v>
      </c>
      <c r="F72" s="58">
        <v>80</v>
      </c>
      <c r="G72" s="59"/>
      <c r="H72" s="55"/>
      <c r="I72" s="56"/>
      <c r="J72" s="12"/>
    </row>
    <row r="73" spans="2:10" ht="12.75" customHeight="1">
      <c r="B73" s="10"/>
      <c r="C73" s="18" t="s">
        <v>58</v>
      </c>
      <c r="D73" s="52">
        <v>4.5</v>
      </c>
      <c r="E73" s="52">
        <v>0.8</v>
      </c>
      <c r="F73" s="58">
        <v>90</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20</v>
      </c>
      <c r="F78" s="122"/>
      <c r="G78" s="35">
        <f>+E78*4800</f>
        <v>96000</v>
      </c>
      <c r="H78" s="57">
        <v>20</v>
      </c>
      <c r="I78" s="35">
        <f>+H78*7500</f>
        <v>150000</v>
      </c>
      <c r="J78" s="12"/>
    </row>
    <row r="79" spans="2:10" ht="12.75" customHeight="1">
      <c r="B79" s="10"/>
      <c r="C79" s="114" t="s">
        <v>67</v>
      </c>
      <c r="D79" s="114"/>
      <c r="E79" s="122">
        <v>30</v>
      </c>
      <c r="F79" s="122"/>
      <c r="G79" s="35">
        <f>+E79*12000</f>
        <v>360000</v>
      </c>
      <c r="H79" s="57">
        <v>30</v>
      </c>
      <c r="I79" s="35">
        <f>+H79*19000</f>
        <v>570000</v>
      </c>
      <c r="J79" s="12"/>
    </row>
    <row r="80" spans="2:10" ht="12.75" customHeight="1">
      <c r="B80" s="10"/>
      <c r="C80" s="114" t="s">
        <v>68</v>
      </c>
      <c r="D80" s="114"/>
      <c r="E80" s="122">
        <v>30</v>
      </c>
      <c r="F80" s="122"/>
      <c r="G80" s="35">
        <f>+E80*9600</f>
        <v>288000</v>
      </c>
      <c r="H80" s="57">
        <v>30</v>
      </c>
      <c r="I80" s="35">
        <f>+H80*16000</f>
        <v>480000</v>
      </c>
      <c r="J80" s="12"/>
    </row>
    <row r="81" spans="2:10" ht="12.75" customHeight="1">
      <c r="B81" s="10"/>
      <c r="C81" s="114" t="s">
        <v>69</v>
      </c>
      <c r="D81" s="114"/>
      <c r="E81" s="122">
        <v>30</v>
      </c>
      <c r="F81" s="122"/>
      <c r="G81" s="35">
        <f>+E81*6000</f>
        <v>180000</v>
      </c>
      <c r="H81" s="57">
        <v>30</v>
      </c>
      <c r="I81" s="35">
        <f>+H81*11000</f>
        <v>330000</v>
      </c>
      <c r="J81" s="12"/>
    </row>
    <row r="82" spans="2:10" ht="12.75" customHeight="1">
      <c r="B82" s="10"/>
      <c r="C82" s="114" t="s">
        <v>70</v>
      </c>
      <c r="D82" s="114"/>
      <c r="E82" s="122">
        <v>20</v>
      </c>
      <c r="F82" s="122"/>
      <c r="G82" s="35">
        <f>+E82*4800</f>
        <v>96000</v>
      </c>
      <c r="H82" s="57">
        <v>20</v>
      </c>
      <c r="I82" s="35">
        <f>+H82*10000</f>
        <v>200000</v>
      </c>
      <c r="J82" s="12"/>
    </row>
    <row r="83" spans="2:10" ht="12.75" customHeight="1">
      <c r="B83" s="10"/>
      <c r="C83" s="123" t="s">
        <v>71</v>
      </c>
      <c r="D83" s="123"/>
      <c r="E83" s="124">
        <f>SUM(E78:E82)</f>
        <v>130</v>
      </c>
      <c r="F83" s="124"/>
      <c r="G83" s="35">
        <f>SUM(G78:G82)</f>
        <v>1020000</v>
      </c>
      <c r="H83" s="35">
        <f>SUM(H78:H82)</f>
        <v>130</v>
      </c>
      <c r="I83" s="35">
        <f>SUM(I78:I82)</f>
        <v>1730000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v>1000000</v>
      </c>
      <c r="H90" s="30"/>
      <c r="I90" s="30"/>
      <c r="J90" s="12"/>
    </row>
    <row r="91" spans="2:10" ht="12.75" customHeight="1">
      <c r="B91" s="10"/>
      <c r="C91" s="123" t="s">
        <v>40</v>
      </c>
      <c r="D91" s="123"/>
      <c r="E91" s="127">
        <v>500000</v>
      </c>
      <c r="F91" s="127"/>
      <c r="G91" s="30">
        <v>500000</v>
      </c>
      <c r="H91" s="30"/>
      <c r="I91" s="30"/>
      <c r="J91" s="12"/>
    </row>
    <row r="92" spans="2:10" ht="12.75" customHeight="1">
      <c r="B92" s="10"/>
      <c r="C92" s="123" t="s">
        <v>42</v>
      </c>
      <c r="D92" s="123"/>
      <c r="E92" s="127">
        <v>500000</v>
      </c>
      <c r="F92" s="127"/>
      <c r="G92" s="30">
        <v>500000</v>
      </c>
      <c r="H92" s="30"/>
      <c r="I92" s="30"/>
      <c r="J92" s="12"/>
    </row>
    <row r="93" spans="2:10" ht="12.75" customHeight="1">
      <c r="B93" s="10"/>
      <c r="C93" s="123" t="s">
        <v>58</v>
      </c>
      <c r="D93" s="123"/>
      <c r="E93" s="127">
        <v>1000000</v>
      </c>
      <c r="F93" s="127"/>
      <c r="G93" s="30">
        <v>1000000</v>
      </c>
      <c r="H93" s="30"/>
      <c r="I93" s="30"/>
      <c r="J93" s="12"/>
    </row>
    <row r="94" spans="2:10" ht="12.75" customHeight="1">
      <c r="B94" s="10"/>
      <c r="C94" s="123" t="s">
        <v>71</v>
      </c>
      <c r="D94" s="123"/>
      <c r="E94" s="124">
        <f>SUM(E90:E93)</f>
        <v>3000000</v>
      </c>
      <c r="F94" s="124"/>
      <c r="G94" s="62">
        <f>SUM(G90:G93)</f>
        <v>3000000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2500000</v>
      </c>
      <c r="F104" s="127"/>
      <c r="G104" s="30">
        <v>2500000</v>
      </c>
      <c r="H104" s="30"/>
      <c r="I104" s="30"/>
      <c r="J104" s="12"/>
    </row>
    <row r="105" spans="2:10" ht="12.75" customHeight="1">
      <c r="B105" s="10"/>
      <c r="C105" s="123" t="s">
        <v>40</v>
      </c>
      <c r="D105" s="123"/>
      <c r="E105" s="127">
        <v>1000000</v>
      </c>
      <c r="F105" s="127"/>
      <c r="G105" s="30">
        <v>1000000</v>
      </c>
      <c r="H105" s="30"/>
      <c r="I105" s="30"/>
      <c r="J105" s="12"/>
    </row>
    <row r="106" spans="2:10" ht="12.75" customHeight="1">
      <c r="B106" s="10"/>
      <c r="C106" s="123" t="s">
        <v>42</v>
      </c>
      <c r="D106" s="123"/>
      <c r="E106" s="127">
        <v>1500000</v>
      </c>
      <c r="F106" s="127"/>
      <c r="G106" s="30">
        <v>1500000</v>
      </c>
      <c r="H106" s="30"/>
      <c r="I106" s="30"/>
      <c r="J106" s="12"/>
    </row>
    <row r="107" spans="2:10" ht="12.75" customHeight="1">
      <c r="B107" s="10"/>
      <c r="C107" s="123" t="s">
        <v>58</v>
      </c>
      <c r="D107" s="123"/>
      <c r="E107" s="127">
        <v>2500000</v>
      </c>
      <c r="F107" s="127"/>
      <c r="G107" s="30">
        <v>2500000</v>
      </c>
      <c r="H107" s="30"/>
      <c r="I107" s="30"/>
      <c r="J107" s="12"/>
    </row>
    <row r="108" spans="2:10" ht="12.75" customHeight="1">
      <c r="B108" s="10"/>
      <c r="C108" s="123" t="s">
        <v>71</v>
      </c>
      <c r="D108" s="123"/>
      <c r="E108" s="124">
        <f>SUM(E104:E107)</f>
        <v>7500000</v>
      </c>
      <c r="F108" s="124"/>
      <c r="G108" s="62">
        <f>SUM(G104:G107)</f>
        <v>7500000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7500000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23500000</v>
      </c>
      <c r="J124" s="69"/>
    </row>
    <row r="125" spans="2:10" ht="12.75" customHeight="1">
      <c r="B125" s="11"/>
      <c r="C125" s="73"/>
      <c r="D125" s="75" t="s">
        <v>89</v>
      </c>
      <c r="E125" s="75"/>
      <c r="F125" s="75"/>
      <c r="G125" s="75"/>
      <c r="H125" s="75"/>
      <c r="I125" s="74">
        <f>+(E52*(E90+H90))+(E53*(E91+H91))+(E54*(E92+H92))+(E55*(E93+H93))</f>
        <v>4000000</v>
      </c>
      <c r="J125" s="69"/>
    </row>
    <row r="126" spans="2:10" ht="12.75" customHeight="1">
      <c r="B126" s="11"/>
      <c r="C126" s="76" t="s">
        <v>90</v>
      </c>
      <c r="D126" s="76"/>
      <c r="E126" s="76"/>
      <c r="F126" s="76"/>
      <c r="G126" s="76"/>
      <c r="H126" s="76"/>
      <c r="I126" s="77">
        <f>+I124-I125</f>
        <v>19500000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50000</v>
      </c>
      <c r="J131" s="69"/>
    </row>
    <row r="132" spans="2:10" ht="12.75" customHeight="1">
      <c r="B132" s="11"/>
      <c r="C132" s="73"/>
      <c r="D132" s="75" t="s">
        <v>96</v>
      </c>
      <c r="E132" s="75"/>
      <c r="F132" s="75"/>
      <c r="G132" s="75"/>
      <c r="H132" s="75"/>
      <c r="I132" s="74">
        <f>+(G90+G91+G92+I90+I91+I92+G93+I93)*0.05</f>
        <v>150000</v>
      </c>
      <c r="J132" s="69"/>
    </row>
    <row r="133" spans="2:10" ht="12.75" customHeight="1">
      <c r="B133" s="11"/>
      <c r="C133" s="73"/>
      <c r="D133" s="75" t="s">
        <v>97</v>
      </c>
      <c r="E133" s="75"/>
      <c r="F133" s="75"/>
      <c r="G133" s="75"/>
      <c r="H133" s="75"/>
      <c r="I133" s="74">
        <f>((SUM(G90:G92)+SUM(I90:I92))*0.01)+((G93+I93)*0.02)</f>
        <v>40000</v>
      </c>
      <c r="J133" s="69"/>
    </row>
    <row r="134" spans="2:10" ht="12.75" customHeight="1">
      <c r="B134" s="11"/>
      <c r="C134" s="73"/>
      <c r="D134" s="75" t="s">
        <v>98</v>
      </c>
      <c r="E134" s="75"/>
      <c r="F134" s="75"/>
      <c r="G134" s="75"/>
      <c r="H134" s="75"/>
      <c r="I134" s="74">
        <f>+((G93+I93)*(H117+0.03))*0.02</f>
        <v>41799.999999999993</v>
      </c>
      <c r="J134" s="69"/>
    </row>
    <row r="135" spans="2:10" ht="12.75" customHeight="1">
      <c r="B135" s="11"/>
      <c r="C135" s="80" t="s">
        <v>99</v>
      </c>
      <c r="D135" s="81"/>
      <c r="E135" s="81"/>
      <c r="F135" s="81"/>
      <c r="G135" s="81"/>
      <c r="H135" s="81"/>
      <c r="I135" s="77">
        <f>SUM(I128:I134)</f>
        <v>6461800</v>
      </c>
      <c r="J135" s="78"/>
    </row>
    <row r="136" spans="2:10" ht="12.75" customHeight="1">
      <c r="B136" s="11"/>
      <c r="C136" s="82" t="s">
        <v>100</v>
      </c>
      <c r="D136" s="82"/>
      <c r="E136" s="82"/>
      <c r="F136" s="82"/>
      <c r="G136" s="82"/>
      <c r="H136" s="82"/>
      <c r="I136" s="83">
        <f>+I126-I135</f>
        <v>13038200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32500000</v>
      </c>
      <c r="J138" s="69"/>
    </row>
    <row r="139" spans="2:10" ht="12.75" customHeight="1">
      <c r="B139" s="11"/>
      <c r="C139" s="73"/>
      <c r="D139" s="75" t="s">
        <v>89</v>
      </c>
      <c r="E139" s="75"/>
      <c r="F139" s="75"/>
      <c r="G139" s="75"/>
      <c r="H139" s="75"/>
      <c r="I139" s="74">
        <f>($E$70*($E$104+$H$104))+($E$71*($E$105+$H$105))+($E$72*($E$106+$H$106))+($E$73*($E$107+$H$107))</f>
        <v>5250000</v>
      </c>
      <c r="J139" s="69"/>
    </row>
    <row r="140" spans="2:10" ht="12.75" customHeight="1">
      <c r="B140" s="11"/>
      <c r="C140" s="76" t="s">
        <v>102</v>
      </c>
      <c r="D140" s="76"/>
      <c r="E140" s="76"/>
      <c r="F140" s="76"/>
      <c r="G140" s="76"/>
      <c r="H140" s="76"/>
      <c r="I140" s="77">
        <f>+I138-I139</f>
        <v>27250000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125000</v>
      </c>
      <c r="J145" s="69"/>
    </row>
    <row r="146" spans="2:10" ht="12.75" customHeight="1">
      <c r="B146" s="11"/>
      <c r="C146" s="73"/>
      <c r="D146" s="75" t="s">
        <v>96</v>
      </c>
      <c r="E146" s="75"/>
      <c r="F146" s="75"/>
      <c r="G146" s="75"/>
      <c r="H146" s="75"/>
      <c r="I146" s="74">
        <f>($G$104+$G$105+$G$106+$G$107+$I$104+$I$105+$I$106+$I$107)*0.05</f>
        <v>375000</v>
      </c>
      <c r="J146" s="69"/>
    </row>
    <row r="147" spans="2:10" ht="12.75" customHeight="1">
      <c r="B147" s="11"/>
      <c r="C147" s="73"/>
      <c r="D147" s="75" t="s">
        <v>97</v>
      </c>
      <c r="E147" s="75"/>
      <c r="F147" s="75"/>
      <c r="G147" s="75"/>
      <c r="H147" s="75"/>
      <c r="I147" s="74">
        <f>((SUM(G104:G106)+SUM(I104:I106))*0.01)+((G107+I107)*0.02)</f>
        <v>100000</v>
      </c>
      <c r="J147" s="69"/>
    </row>
    <row r="148" spans="2:10" ht="12.75" customHeight="1">
      <c r="B148" s="11"/>
      <c r="C148" s="73"/>
      <c r="D148" s="75" t="s">
        <v>98</v>
      </c>
      <c r="E148" s="75"/>
      <c r="F148" s="75"/>
      <c r="G148" s="75"/>
      <c r="H148" s="75"/>
      <c r="I148" s="74">
        <f>((G107+I107)*(H118+0.03))*0.02</f>
        <v>50000</v>
      </c>
      <c r="J148" s="69"/>
    </row>
    <row r="149" spans="2:10" ht="12.75" customHeight="1">
      <c r="B149" s="11"/>
      <c r="C149" s="80" t="s">
        <v>105</v>
      </c>
      <c r="D149" s="81"/>
      <c r="E149" s="81"/>
      <c r="F149" s="81"/>
      <c r="G149" s="81"/>
      <c r="H149" s="81"/>
      <c r="I149" s="77">
        <f>SUM(I142:I148)</f>
        <v>7925000</v>
      </c>
      <c r="J149" s="78"/>
    </row>
    <row r="150" spans="2:10" ht="12.75" customHeight="1">
      <c r="B150" s="11"/>
      <c r="C150" s="82" t="s">
        <v>106</v>
      </c>
      <c r="D150" s="82"/>
      <c r="E150" s="82"/>
      <c r="F150" s="82"/>
      <c r="G150" s="82"/>
      <c r="H150" s="82"/>
      <c r="I150" s="83">
        <f>+I140-I149</f>
        <v>19325000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2520000</v>
      </c>
      <c r="J154" s="69"/>
    </row>
    <row r="155" spans="2:10" ht="12.75" customHeight="1">
      <c r="B155" s="11"/>
      <c r="C155" s="73"/>
      <c r="D155" s="75" t="s">
        <v>111</v>
      </c>
      <c r="E155" s="75"/>
      <c r="F155" s="75"/>
      <c r="G155" s="75"/>
      <c r="H155" s="75"/>
      <c r="I155" s="74">
        <f>(50000*D46)+((D40+D41)*D46*I40)</f>
        <v>700000</v>
      </c>
      <c r="J155" s="69"/>
    </row>
    <row r="156" spans="2:10" ht="12.75" customHeight="1">
      <c r="B156" s="11"/>
      <c r="C156" s="73"/>
      <c r="D156" s="75" t="s">
        <v>112</v>
      </c>
      <c r="E156" s="75"/>
      <c r="F156" s="75"/>
      <c r="G156" s="75"/>
      <c r="H156" s="75"/>
      <c r="I156" s="74">
        <f>(60000*D47)*I20</f>
        <v>660000</v>
      </c>
      <c r="J156" s="69"/>
    </row>
    <row r="157" spans="2:10" ht="12.75" customHeight="1">
      <c r="B157" s="11"/>
      <c r="C157" s="73"/>
      <c r="D157" s="75" t="s">
        <v>113</v>
      </c>
      <c r="E157" s="75"/>
      <c r="F157" s="75"/>
      <c r="G157" s="75"/>
      <c r="H157" s="75"/>
      <c r="I157" s="74">
        <f>(((D53-E53)*G91)+((D54-E54)*G92)+((D71-E71)*G105)+((D72-E72)*G106))*(I41/100)</f>
        <v>122000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2750000</v>
      </c>
      <c r="J159" s="69"/>
    </row>
    <row r="160" spans="2:10" ht="12.75" customHeight="1">
      <c r="B160" s="11"/>
      <c r="C160" s="73"/>
      <c r="D160" s="75" t="s">
        <v>116</v>
      </c>
      <c r="E160" s="75"/>
      <c r="F160" s="75"/>
      <c r="G160" s="75"/>
      <c r="H160" s="75"/>
      <c r="I160" s="74">
        <f>G83+(I83*I20)</f>
        <v>2750000</v>
      </c>
      <c r="J160" s="69"/>
    </row>
    <row r="161" spans="2:11" ht="12.75" customHeight="1">
      <c r="B161" s="11"/>
      <c r="C161" s="80" t="s">
        <v>117</v>
      </c>
      <c r="D161" s="81"/>
      <c r="E161" s="81"/>
      <c r="F161" s="81"/>
      <c r="G161" s="81"/>
      <c r="H161" s="81"/>
      <c r="I161" s="77">
        <f>SUM(I152:I160)</f>
        <v>15492000</v>
      </c>
      <c r="J161" s="78"/>
    </row>
    <row r="162" spans="2:11" ht="12.75" customHeight="1">
      <c r="B162" s="11"/>
      <c r="C162" s="82" t="s">
        <v>118</v>
      </c>
      <c r="D162" s="82"/>
      <c r="E162" s="82"/>
      <c r="F162" s="82"/>
      <c r="G162" s="82"/>
      <c r="H162" s="82"/>
      <c r="I162" s="83">
        <f>+I136+I150-I161</f>
        <v>16871200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16871200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43861200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43861200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70771200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16871200</v>
      </c>
      <c r="I197" s="92">
        <v>0</v>
      </c>
      <c r="J197" s="69"/>
    </row>
    <row r="198" spans="2:11" ht="12.75" customHeight="1">
      <c r="B198" s="11"/>
      <c r="C198" s="96" t="s">
        <v>156</v>
      </c>
      <c r="D198" s="97"/>
      <c r="E198" s="97"/>
      <c r="F198" s="97"/>
      <c r="G198" s="97"/>
      <c r="H198" s="83">
        <f>SUM(H195:H197)</f>
        <v>70771200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